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7-10-04 - FAIXAS ELEVADAS E LOMBADAS\"/>
    </mc:Choice>
  </mc:AlternateContent>
  <bookViews>
    <workbookView xWindow="0" yWindow="0" windowWidth="23040" windowHeight="9330"/>
  </bookViews>
  <sheets>
    <sheet name="Planilha Orçamentário" sheetId="1" r:id="rId1"/>
    <sheet name="Composição" sheetId="3" r:id="rId2"/>
    <sheet name="CRONOGRAM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4" l="1"/>
  <c r="Q26" i="4" s="1"/>
  <c r="I26" i="4"/>
  <c r="E26" i="4"/>
  <c r="U25" i="4"/>
  <c r="Q25" i="4"/>
  <c r="M25" i="4"/>
  <c r="I25" i="4"/>
  <c r="E25" i="4"/>
  <c r="C25" i="4"/>
  <c r="D9" i="4" s="1"/>
  <c r="D15" i="4"/>
  <c r="D7" i="4"/>
  <c r="D21" i="4" l="1"/>
  <c r="D13" i="4"/>
  <c r="D19" i="4"/>
  <c r="D11" i="4"/>
  <c r="D25" i="4" s="1"/>
  <c r="D17" i="4"/>
  <c r="I47" i="1"/>
  <c r="I41" i="1"/>
  <c r="I35" i="1"/>
  <c r="I30" i="1"/>
  <c r="I20" i="1"/>
  <c r="I16" i="1"/>
  <c r="E46" i="1" l="1"/>
  <c r="E33" i="1" l="1"/>
  <c r="E36" i="1" l="1"/>
  <c r="E31" i="1"/>
  <c r="E25" i="1"/>
  <c r="E19" i="1"/>
  <c r="E17" i="1"/>
  <c r="I10" i="1"/>
  <c r="I13" i="1" s="1"/>
  <c r="H11" i="1"/>
  <c r="G18" i="1" l="1"/>
  <c r="H18" i="1" s="1"/>
  <c r="E23" i="1" l="1"/>
  <c r="E27" i="1"/>
  <c r="E22" i="1"/>
  <c r="E29" i="1"/>
  <c r="G31" i="3"/>
  <c r="G30" i="3"/>
  <c r="G19" i="1"/>
  <c r="G29" i="3"/>
  <c r="G28" i="3"/>
  <c r="G27" i="3"/>
  <c r="G26" i="3" s="1"/>
  <c r="F25" i="1" s="1"/>
  <c r="G12" i="1"/>
  <c r="H12" i="1" s="1"/>
  <c r="G11" i="1"/>
  <c r="H19" i="1" l="1"/>
  <c r="E28" i="1"/>
  <c r="G24" i="3"/>
  <c r="G23" i="3"/>
  <c r="G22" i="3"/>
  <c r="G21" i="3"/>
  <c r="G20" i="3"/>
  <c r="G19" i="3"/>
  <c r="G18" i="3"/>
  <c r="E45" i="1" l="1"/>
  <c r="G12" i="3"/>
  <c r="G13" i="3"/>
  <c r="G14" i="3"/>
  <c r="G15" i="3"/>
  <c r="G17" i="3"/>
  <c r="F50" i="1" s="1"/>
  <c r="E32" i="1"/>
  <c r="E34" i="1"/>
  <c r="E42" i="1"/>
  <c r="E44" i="1"/>
  <c r="E48" i="1"/>
  <c r="E49" i="1"/>
  <c r="E52" i="1"/>
  <c r="E50" i="1"/>
  <c r="G11" i="3" l="1"/>
  <c r="H27" i="1"/>
  <c r="G52" i="1"/>
  <c r="H52" i="1" s="1"/>
  <c r="I51" i="1" s="1"/>
  <c r="G49" i="1"/>
  <c r="H49" i="1" s="1"/>
  <c r="G48" i="1"/>
  <c r="H48" i="1" s="1"/>
  <c r="G46" i="1"/>
  <c r="H46" i="1" s="1"/>
  <c r="G45" i="1"/>
  <c r="H45" i="1" s="1"/>
  <c r="G44" i="1"/>
  <c r="H44" i="1" s="1"/>
  <c r="G42" i="1"/>
  <c r="H42" i="1" s="1"/>
  <c r="G36" i="1"/>
  <c r="H36" i="1" s="1"/>
  <c r="G33" i="1"/>
  <c r="H33" i="1" s="1"/>
  <c r="G32" i="1"/>
  <c r="H32" i="1" s="1"/>
  <c r="G31" i="1"/>
  <c r="H31" i="1" s="1"/>
  <c r="G28" i="1"/>
  <c r="H28" i="1" s="1"/>
  <c r="G27" i="1"/>
  <c r="G25" i="1"/>
  <c r="H25" i="1" s="1"/>
  <c r="G22" i="1"/>
  <c r="H22" i="1" s="1"/>
  <c r="G17" i="1"/>
  <c r="H17" i="1" s="1"/>
  <c r="I43" i="1" l="1"/>
  <c r="F29" i="1" l="1"/>
  <c r="G29" i="1" s="1"/>
  <c r="H29" i="1" s="1"/>
  <c r="F23" i="1" l="1"/>
  <c r="G23" i="1" s="1"/>
  <c r="H23" i="1" s="1"/>
  <c r="F34" i="1" l="1"/>
  <c r="G34" i="1" s="1"/>
  <c r="H34" i="1" s="1"/>
  <c r="I37" i="1" s="1"/>
  <c r="G50" i="1" l="1"/>
  <c r="H50" i="1" s="1"/>
  <c r="I53" i="1" s="1"/>
  <c r="I55" i="1" s="1"/>
  <c r="H5" i="1" l="1"/>
</calcChain>
</file>

<file path=xl/comments1.xml><?xml version="1.0" encoding="utf-8"?>
<comments xmlns="http://schemas.openxmlformats.org/spreadsheetml/2006/main">
  <authors>
    <author>Alipio</author>
  </authors>
  <commentList>
    <comment ref="E22" authorId="0" shapeId="0">
      <text>
        <r>
          <rPr>
            <b/>
            <sz val="8"/>
            <color indexed="81"/>
            <rFont val="Segoe UI"/>
            <family val="2"/>
          </rPr>
          <t>Alipio:</t>
        </r>
        <r>
          <rPr>
            <sz val="8"/>
            <color indexed="81"/>
            <rFont val="Segoe UI"/>
            <family val="2"/>
          </rPr>
          <t xml:space="preserve">
Adotado trapézio com:
base: 1,00m
Altura 1: 0,23m
Altura 2: 0,05m</t>
        </r>
      </text>
    </comment>
    <comment ref="E27" authorId="0" shapeId="0">
      <text>
        <r>
          <rPr>
            <b/>
            <sz val="8"/>
            <color indexed="81"/>
            <rFont val="Segoe UI"/>
            <family val="2"/>
          </rPr>
          <t>Alipio:</t>
        </r>
        <r>
          <rPr>
            <sz val="8"/>
            <color indexed="81"/>
            <rFont val="Segoe UI"/>
            <family val="2"/>
          </rPr>
          <t xml:space="preserve">
0,23*4 = 0,92</t>
        </r>
      </text>
    </comment>
  </commentList>
</comments>
</file>

<file path=xl/sharedStrings.xml><?xml version="1.0" encoding="utf-8"?>
<sst xmlns="http://schemas.openxmlformats.org/spreadsheetml/2006/main" count="241" uniqueCount="147">
  <si>
    <t>PREFEITURA MUNICIPAL DE AQUIDAUANA</t>
  </si>
  <si>
    <t>DIRETA</t>
  </si>
  <si>
    <t>( x )</t>
  </si>
  <si>
    <t>INDIRETA</t>
  </si>
  <si>
    <t>BDI:</t>
  </si>
  <si>
    <t>VALOR DA OBRA:</t>
  </si>
  <si>
    <t>FORMA DE EXECUÇÃO:</t>
  </si>
  <si>
    <t>PLANILHA ORÇAMENTARIA</t>
  </si>
  <si>
    <t>ITEM</t>
  </si>
  <si>
    <t>CÓDIGO</t>
  </si>
  <si>
    <t>DESCRIÇÃO DOS SERVIÇOS</t>
  </si>
  <si>
    <t>UNID</t>
  </si>
  <si>
    <t>QUANT</t>
  </si>
  <si>
    <t>PREÇO UNITÁRIO S/ BDI</t>
  </si>
  <si>
    <t>PREÇO UNITÁRIO C/ BDI</t>
  </si>
  <si>
    <t>PREÇO TOTAL C/ BDI</t>
  </si>
  <si>
    <t>VALOR DO SERVIÇO</t>
  </si>
  <si>
    <t>1.1</t>
  </si>
  <si>
    <t>FAIXA ELEVADA</t>
  </si>
  <si>
    <t>RAMPAS</t>
  </si>
  <si>
    <t>74007/001</t>
  </si>
  <si>
    <t>FORMA TABUA P/ CONCRETO EM FUNDACAO C/ REAPROVEITAMENTO 10 X.</t>
  </si>
  <si>
    <t>KG</t>
  </si>
  <si>
    <t>CALÇADA - MEIO FIO E SARJETA</t>
  </si>
  <si>
    <t>M</t>
  </si>
  <si>
    <t>DEMOLIÇÃO DE PAVIMENTAÇÃO ASFÁLTICA COM UTILIZAÇÃO DE MARTELO PERFURADOR, ESPESSURA ATÉ 15 CM, EXCLUSIVE CARGA E TRANSPORTE</t>
  </si>
  <si>
    <t>DEMOLIÇÃO</t>
  </si>
  <si>
    <t>2.1</t>
  </si>
  <si>
    <t>2.3</t>
  </si>
  <si>
    <t>2.4</t>
  </si>
  <si>
    <t>2.5</t>
  </si>
  <si>
    <t>2.6</t>
  </si>
  <si>
    <t>2.7</t>
  </si>
  <si>
    <t>SINALIZAÇÃO</t>
  </si>
  <si>
    <t>73948/002</t>
  </si>
  <si>
    <t>LIMPEZA/PREPARO SUPERFICIE CONCRETO P/PINTURA</t>
  </si>
  <si>
    <t>SINALIZACAO HORIZONTAL COM TINTA RETRORREFLETIVA A BASE DE RESINA ACRILICA COM MICROESFERAS DE VIDRO, COR BRANCA (FAIXA DE PEDESTRES)</t>
  </si>
  <si>
    <t>3.1</t>
  </si>
  <si>
    <t>3.2</t>
  </si>
  <si>
    <t>3.3</t>
  </si>
  <si>
    <t>3.4</t>
  </si>
  <si>
    <t>SERVIÇOS COMPLEMENTARES</t>
  </si>
  <si>
    <t>4.1</t>
  </si>
  <si>
    <t>LIMPEZA FINAL DA OBRA</t>
  </si>
  <si>
    <t>COEFIC.</t>
  </si>
  <si>
    <t>PREÇO</t>
  </si>
  <si>
    <t>PREÇO TOTAL</t>
  </si>
  <si>
    <t>M2</t>
  </si>
  <si>
    <t>CARPINTEIRO DE FORMAS COM ENCARGOS COMPLEMENTARES</t>
  </si>
  <si>
    <t>H</t>
  </si>
  <si>
    <t>SERVENTE COM ENCARGOS COMPLEMENTARES</t>
  </si>
  <si>
    <t>M3</t>
  </si>
  <si>
    <t>SARRAFO DE MADEIRA NAO APARELHADA *2,5 X 7* CM, MACARANDUBA, ANGELIM OU EQUIVALENTE DA REGIAO</t>
  </si>
  <si>
    <t>PECA DE MADEIRA NATIVA / REGIONAL 7,5 X 7,5CM (3X3) NAO APARELHADA (P/FORMA)</t>
  </si>
  <si>
    <t>PREGO DE ACO POLIDO COM CABECA 18 X 30 (2 3/4 X 10)</t>
  </si>
  <si>
    <t>ARMADOR COM ENCARGOS COMPLEMENTARES</t>
  </si>
  <si>
    <t>ARAME RECOZIDO 18 BWG, 1,25 MM (0,01 KG/M)</t>
  </si>
  <si>
    <t>TELA DE ACO SOLDADA NERVURADA, CA-60, Q-196, (3,11 KG/M2), DIAMETRO DO FIO = 5,0 MM, LARGURA = 2,45 M, ESPACAMENTO DA MALHA = 10 X 10 CM</t>
  </si>
  <si>
    <t>ARMACAO EM TELA DE ACO SOLDADA NERVURADA Q-196, ACO CA-60, 5,0MM, MALHA 10X10CM</t>
  </si>
  <si>
    <t>SINALIZACAO HORIZONTAL COM TINTA RETRORREFLETIVA A BASE DE RESINA ACRILICA COM MICROESFERAS DE VIDRO, COR AMARELA</t>
  </si>
  <si>
    <t>(   )</t>
  </si>
  <si>
    <t>CONCRETO FCK = 25MPA, TRAÇO 1:2,3:2,7 (CIMENTO/ AREIA MÉDIA/ BRITA 1) - PREPARO MECÂNICO COM BETONEIRA 400 L.</t>
  </si>
  <si>
    <t>LOCAL: Aquidauana - MS</t>
  </si>
  <si>
    <t>CONCRETO FCK = 20MPA, TRAÇO 1:2,7:3 (CIMENTO/ AREIA MÉDIA/ BRITA 1) PREPARO MECÂNICO COM BETONEIRA 400 L.</t>
  </si>
  <si>
    <t>ARGAMASSA TRAÇO 1:4 (CIMENTO E AREIA MÉDIA) PARA CONTRAPISO, PREPARO MECÂNICO COM BETONEIRA 400 L.</t>
  </si>
  <si>
    <t>LASTRO COM PREPARO DE FUNDO, LARGURA 1,5M, COM CAMADA DE BRITA 3CM, LANÇAMENTO MANUAL.</t>
  </si>
  <si>
    <t>VALOR TOTAL DA OBRA:</t>
  </si>
  <si>
    <t>LOMBADAS</t>
  </si>
  <si>
    <t>QUANTIDADE</t>
  </si>
  <si>
    <t>SUBTOTAL:</t>
  </si>
  <si>
    <t xml:space="preserve"> </t>
  </si>
  <si>
    <t>REFERENCIA: SINAPI Desonerarado - 2017-08</t>
  </si>
  <si>
    <t>SUBTOTAL</t>
  </si>
  <si>
    <t>FAIXAS ELEVADAS</t>
  </si>
  <si>
    <t>PLACA DE SINALIZAÇÃO EM CHAPA DE AÇO NUM 16 COM PINTURA REFLEXIVA (60x80 CM)</t>
  </si>
  <si>
    <t>CCU-01</t>
  </si>
  <si>
    <t>CCU-02</t>
  </si>
  <si>
    <t>2.2</t>
  </si>
  <si>
    <t>1.</t>
  </si>
  <si>
    <t>1.2</t>
  </si>
  <si>
    <t>1.3</t>
  </si>
  <si>
    <t>1.4</t>
  </si>
  <si>
    <t>OBRA: FAIXAS ELEVADAS E LOMBADAS</t>
  </si>
  <si>
    <t>COMPOSIÇÕES</t>
  </si>
  <si>
    <t>PLATAFORMAS</t>
  </si>
  <si>
    <t>SERVIÇOS PRELIMINARES</t>
  </si>
  <si>
    <t>74209/001</t>
  </si>
  <si>
    <t>PLACA DE OBRA EM CHAPA DE ACO GALVANIZADO</t>
  </si>
  <si>
    <t xml:space="preserve">UN </t>
  </si>
  <si>
    <t>3.5</t>
  </si>
  <si>
    <t>3.6</t>
  </si>
  <si>
    <t>4.2</t>
  </si>
  <si>
    <t>4.3</t>
  </si>
  <si>
    <t>4.4</t>
  </si>
  <si>
    <t>5.1</t>
  </si>
  <si>
    <t>6.1</t>
  </si>
  <si>
    <t>7.</t>
  </si>
  <si>
    <t>6.</t>
  </si>
  <si>
    <t>5.</t>
  </si>
  <si>
    <t>4.</t>
  </si>
  <si>
    <t>3.</t>
  </si>
  <si>
    <t>2.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</si>
  <si>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</si>
  <si>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</si>
  <si>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</si>
  <si>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</si>
  <si>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</si>
  <si>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</si>
  <si>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</si>
  <si>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</si>
  <si>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</si>
  <si>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PLACA DE SINALIZAÇÃO VERTICAL</t>
  </si>
  <si>
    <t>CCU-03</t>
  </si>
  <si>
    <t>RETIRADA DE MEIO FIO C/ EMPILHAMENTO E S/ REMOCAO</t>
  </si>
  <si>
    <t>FORMA TABIA PARA CONCRETO EM FUNDAÇÕES C/ REAPROVEITAMENTO 10X</t>
  </si>
  <si>
    <t>LANÇAMENTO/APLICAÇÃO MANUAL DE CONCRETO EM FUNDAÇÕES</t>
  </si>
  <si>
    <t>74157/004</t>
  </si>
  <si>
    <t>CONCRETO FCK=25 MPA, TRAÇO 1:2,3:2,7 (CIMENTO / AREIA MÉDIA / BRITA 1) - PREPARO MECÂNICO COM BETONEIRA 400 L</t>
  </si>
  <si>
    <t>PEDREIRO COM ENCARGOS COMPLEMENTARES</t>
  </si>
  <si>
    <t>AJUDANTE DE PEDREIRO COM ENCARGOS COMPLEMENTARES</t>
  </si>
  <si>
    <t>MEIO-FIO DE CONCRETO FCK=25MPA, SEÇÃO DE 18,5X11 CM</t>
  </si>
  <si>
    <t>COMPRIMENTO TOTAL</t>
  </si>
  <si>
    <t>DEMOLIÇÃO DE CONCRETO SIMPLES (LOMBADAS QUE SERÃO SUBSTITUÍDAS POR FAIXAS ELEVADAS)</t>
  </si>
  <si>
    <t>CONE DE SINALIZAÇÃO EM PVC RÍGIDO COM FAIXA REFLETIVA, H = 70 / 76 CM</t>
  </si>
  <si>
    <t>MEIO-FIO DE CONCRETO FCK=25MPA, SEÇÃO 18,5X11CM</t>
  </si>
  <si>
    <t>CIDADE: AQUIDAUANA</t>
  </si>
  <si>
    <t>CRONOGRAMA FÍSICO-FINANCEIRO</t>
  </si>
  <si>
    <t>Item</t>
  </si>
  <si>
    <t>Descrição</t>
  </si>
  <si>
    <t>Valor Total</t>
  </si>
  <si>
    <t>%</t>
  </si>
  <si>
    <t>30 dias</t>
  </si>
  <si>
    <t>60 dias</t>
  </si>
  <si>
    <t>90 dias</t>
  </si>
  <si>
    <t>TOTAL</t>
  </si>
  <si>
    <t>TOTAL PARCIAL</t>
  </si>
  <si>
    <t>TOTAL ACUMULADO</t>
  </si>
  <si>
    <t>SERVIÇOS COMPLEMENTARES FAIXA ELEVADA</t>
  </si>
  <si>
    <t>SINALIZAÇÃO FAIXAS ELEVADAS</t>
  </si>
  <si>
    <t>SERVIÇÕS COMPLEMENTARES LOMBADAS</t>
  </si>
  <si>
    <t>SINALIZAÇÃO LOMBADAS</t>
  </si>
  <si>
    <t>120 dias</t>
  </si>
  <si>
    <t>EDUARDO ALCANTÚ</t>
  </si>
  <si>
    <t>ENGENHEIRO CIVIL</t>
  </si>
  <si>
    <t>CREA-MS 20708</t>
  </si>
  <si>
    <t>OBRA:  FAIXAS ELEVADAS E LOMBADAS</t>
  </si>
  <si>
    <t>LOCAL: DIVERSAS RUAS DA CIDADE DE AQUIDAUANA-MS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</si>
</sst>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R$&quot;#,##0.00"/>
    <numFmt numFmtId="165" formatCode="&quot;R$&quot;\ #,##0.00"/>
    <numFmt numFmtId="166" formatCode="0.000"/>
    <numFmt numFmtId="167" formatCode="#,##0.000000_);\-#,##0.000000"/>
    <numFmt numFmtId="168" formatCode="#,##0.00_ ;\-#,##0.00\ "/>
    <numFmt numFmtId="169" formatCode="#,##0.00_);\-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166" fontId="15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60">
    <xf numFmtId="0" fontId="0" fillId="0" borderId="0" xfId="0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165" fontId="3" fillId="5" borderId="1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4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 applyProtection="1">
      <alignment vertical="center" wrapText="1"/>
      <protection locked="0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 applyProtection="1">
      <alignment vertical="center" wrapText="1"/>
      <protection locked="0"/>
    </xf>
    <xf numFmtId="2" fontId="0" fillId="0" borderId="0" xfId="0" applyNumberForma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6" fontId="0" fillId="0" borderId="1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0" fillId="6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11" fillId="0" borderId="0" xfId="1"/>
    <xf numFmtId="0" fontId="14" fillId="0" borderId="0" xfId="2" applyNumberFormat="1" applyFont="1" applyFill="1" applyAlignment="1">
      <alignment vertical="center"/>
    </xf>
    <xf numFmtId="0" fontId="11" fillId="0" borderId="0" xfId="1" applyAlignment="1">
      <alignment vertical="top" wrapText="1"/>
    </xf>
    <xf numFmtId="10" fontId="11" fillId="0" borderId="0" xfId="4" applyNumberFormat="1" applyFont="1" applyAlignment="1">
      <alignment vertical="top" wrapText="1"/>
    </xf>
    <xf numFmtId="9" fontId="11" fillId="0" borderId="0" xfId="4" applyFont="1" applyAlignment="1">
      <alignment horizontal="center" vertical="top" wrapText="1"/>
    </xf>
    <xf numFmtId="0" fontId="16" fillId="0" borderId="0" xfId="1" applyFont="1"/>
    <xf numFmtId="9" fontId="19" fillId="9" borderId="13" xfId="4" applyFont="1" applyFill="1" applyBorder="1" applyAlignment="1">
      <alignment vertical="top" wrapText="1"/>
    </xf>
    <xf numFmtId="9" fontId="19" fillId="0" borderId="13" xfId="4" applyFont="1" applyFill="1" applyBorder="1" applyAlignment="1">
      <alignment vertical="top" wrapText="1"/>
    </xf>
    <xf numFmtId="9" fontId="19" fillId="9" borderId="29" xfId="4" applyFont="1" applyFill="1" applyBorder="1" applyAlignment="1">
      <alignment vertical="top" wrapText="1"/>
    </xf>
    <xf numFmtId="9" fontId="19" fillId="0" borderId="29" xfId="4" applyFont="1" applyFill="1" applyBorder="1" applyAlignment="1">
      <alignment vertical="top" wrapText="1"/>
    </xf>
    <xf numFmtId="9" fontId="19" fillId="9" borderId="27" xfId="4" applyFont="1" applyFill="1" applyBorder="1" applyAlignment="1">
      <alignment vertical="top" wrapText="1"/>
    </xf>
    <xf numFmtId="9" fontId="19" fillId="9" borderId="28" xfId="4" applyFont="1" applyFill="1" applyBorder="1" applyAlignment="1">
      <alignment vertical="top" wrapText="1"/>
    </xf>
    <xf numFmtId="9" fontId="19" fillId="0" borderId="27" xfId="4" applyFont="1" applyFill="1" applyBorder="1" applyAlignment="1">
      <alignment vertical="top" wrapText="1"/>
    </xf>
    <xf numFmtId="9" fontId="19" fillId="0" borderId="28" xfId="4" applyFont="1" applyFill="1" applyBorder="1" applyAlignment="1">
      <alignment vertical="top" wrapText="1"/>
    </xf>
    <xf numFmtId="0" fontId="11" fillId="0" borderId="32" xfId="1" applyBorder="1" applyAlignment="1">
      <alignment horizontal="center"/>
    </xf>
    <xf numFmtId="0" fontId="11" fillId="0" borderId="21" xfId="1" applyBorder="1" applyAlignment="1">
      <alignment horizontal="center"/>
    </xf>
    <xf numFmtId="0" fontId="12" fillId="0" borderId="20" xfId="1" applyFont="1" applyFill="1" applyBorder="1" applyAlignment="1">
      <alignment horizontal="center"/>
    </xf>
    <xf numFmtId="0" fontId="14" fillId="0" borderId="26" xfId="2" applyNumberFormat="1" applyFont="1" applyFill="1" applyBorder="1" applyAlignment="1">
      <alignment vertical="center"/>
    </xf>
    <xf numFmtId="10" fontId="20" fillId="0" borderId="22" xfId="4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0" xfId="0" applyBorder="1"/>
    <xf numFmtId="0" fontId="0" fillId="0" borderId="26" xfId="0" applyBorder="1"/>
    <xf numFmtId="2" fontId="17" fillId="8" borderId="22" xfId="1" applyNumberFormat="1" applyFont="1" applyFill="1" applyBorder="1" applyAlignment="1">
      <alignment horizontal="center" vertical="center" wrapText="1"/>
    </xf>
    <xf numFmtId="168" fontId="17" fillId="8" borderId="22" xfId="1" applyNumberFormat="1" applyFont="1" applyFill="1" applyBorder="1" applyAlignment="1">
      <alignment horizontal="center" vertical="center" wrapText="1"/>
    </xf>
    <xf numFmtId="0" fontId="20" fillId="0" borderId="22" xfId="1" applyFont="1" applyFill="1" applyBorder="1" applyAlignment="1">
      <alignment horizontal="center" vertical="center" wrapText="1"/>
    </xf>
    <xf numFmtId="10" fontId="19" fillId="7" borderId="22" xfId="4" applyNumberFormat="1" applyFont="1" applyFill="1" applyBorder="1" applyAlignment="1">
      <alignment vertical="top" wrapText="1"/>
    </xf>
    <xf numFmtId="169" fontId="19" fillId="7" borderId="22" xfId="1" applyNumberFormat="1" applyFont="1" applyFill="1" applyBorder="1" applyAlignment="1">
      <alignment vertical="top" wrapText="1"/>
    </xf>
    <xf numFmtId="167" fontId="17" fillId="7" borderId="22" xfId="1" applyNumberFormat="1" applyFont="1" applyFill="1" applyBorder="1" applyAlignment="1">
      <alignment horizontal="right" vertical="center" wrapText="1"/>
    </xf>
    <xf numFmtId="0" fontId="12" fillId="0" borderId="25" xfId="3" applyFont="1" applyFill="1" applyBorder="1" applyAlignment="1"/>
    <xf numFmtId="0" fontId="12" fillId="0" borderId="0" xfId="3" applyFont="1" applyFill="1" applyBorder="1" applyAlignment="1"/>
    <xf numFmtId="0" fontId="0" fillId="0" borderId="34" xfId="0" applyBorder="1"/>
    <xf numFmtId="0" fontId="12" fillId="0" borderId="33" xfId="3" applyFont="1" applyFill="1" applyBorder="1" applyAlignment="1">
      <alignment vertical="top"/>
    </xf>
    <xf numFmtId="0" fontId="12" fillId="0" borderId="34" xfId="3" applyFont="1" applyFill="1" applyBorder="1" applyAlignment="1">
      <alignment vertical="top"/>
    </xf>
    <xf numFmtId="0" fontId="14" fillId="0" borderId="16" xfId="2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0" borderId="0" xfId="1" applyFont="1" applyAlignment="1">
      <alignment horizontal="center"/>
    </xf>
    <xf numFmtId="0" fontId="11" fillId="0" borderId="0" xfId="1" applyAlignment="1">
      <alignment horizontal="center"/>
    </xf>
    <xf numFmtId="0" fontId="12" fillId="0" borderId="2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167" fontId="20" fillId="7" borderId="36" xfId="1" applyNumberFormat="1" applyFont="1" applyFill="1" applyBorder="1" applyAlignment="1">
      <alignment horizontal="left" vertical="center" wrapText="1"/>
    </xf>
    <xf numFmtId="167" fontId="20" fillId="7" borderId="37" xfId="1" applyNumberFormat="1" applyFont="1" applyFill="1" applyBorder="1" applyAlignment="1">
      <alignment horizontal="left" vertical="center" wrapText="1"/>
    </xf>
    <xf numFmtId="4" fontId="17" fillId="7" borderId="20" xfId="1" applyNumberFormat="1" applyFont="1" applyFill="1" applyBorder="1" applyAlignment="1">
      <alignment horizontal="center" vertical="center" wrapText="1"/>
    </xf>
    <xf numFmtId="4" fontId="17" fillId="7" borderId="21" xfId="1" applyNumberFormat="1" applyFont="1" applyFill="1" applyBorder="1" applyAlignment="1">
      <alignment horizontal="center" vertical="center" wrapText="1"/>
    </xf>
    <xf numFmtId="2" fontId="20" fillId="7" borderId="35" xfId="4" applyNumberFormat="1" applyFont="1" applyFill="1" applyBorder="1" applyAlignment="1">
      <alignment horizontal="center" vertical="center" wrapText="1"/>
    </xf>
    <xf numFmtId="2" fontId="20" fillId="7" borderId="30" xfId="4" applyNumberFormat="1" applyFont="1" applyFill="1" applyBorder="1" applyAlignment="1">
      <alignment horizontal="center" vertical="center" wrapText="1"/>
    </xf>
    <xf numFmtId="9" fontId="19" fillId="0" borderId="30" xfId="4" applyFont="1" applyFill="1" applyBorder="1" applyAlignment="1">
      <alignment horizontal="center" vertical="top" wrapText="1"/>
    </xf>
    <xf numFmtId="9" fontId="19" fillId="0" borderId="15" xfId="4" applyFont="1" applyFill="1" applyBorder="1" applyAlignment="1">
      <alignment horizontal="center" vertical="top" wrapText="1"/>
    </xf>
    <xf numFmtId="9" fontId="19" fillId="0" borderId="31" xfId="4" applyFont="1" applyFill="1" applyBorder="1" applyAlignment="1">
      <alignment horizontal="center" vertical="top" wrapText="1"/>
    </xf>
    <xf numFmtId="0" fontId="20" fillId="0" borderId="8" xfId="4" applyNumberFormat="1" applyFont="1" applyFill="1" applyBorder="1" applyAlignment="1">
      <alignment horizontal="center" vertical="center" wrapText="1"/>
    </xf>
    <xf numFmtId="0" fontId="20" fillId="0" borderId="9" xfId="4" applyNumberFormat="1" applyFont="1" applyFill="1" applyBorder="1" applyAlignment="1">
      <alignment horizontal="center" vertical="center" wrapText="1"/>
    </xf>
    <xf numFmtId="0" fontId="20" fillId="0" borderId="10" xfId="4" applyNumberFormat="1" applyFont="1" applyFill="1" applyBorder="1" applyAlignment="1">
      <alignment horizontal="center" vertical="center" wrapText="1"/>
    </xf>
    <xf numFmtId="168" fontId="13" fillId="7" borderId="20" xfId="1" applyNumberFormat="1" applyFont="1" applyFill="1" applyBorder="1" applyAlignment="1">
      <alignment horizontal="center" vertical="center" wrapText="1"/>
    </xf>
    <xf numFmtId="168" fontId="13" fillId="7" borderId="21" xfId="1" applyNumberFormat="1" applyFont="1" applyFill="1" applyBorder="1" applyAlignment="1">
      <alignment horizontal="center" vertical="center" wrapText="1"/>
    </xf>
    <xf numFmtId="43" fontId="13" fillId="7" borderId="17" xfId="5" applyFont="1" applyFill="1" applyBorder="1" applyAlignment="1">
      <alignment horizontal="left" vertical="center" wrapText="1"/>
    </xf>
    <xf numFmtId="43" fontId="13" fillId="7" borderId="18" xfId="5" applyFont="1" applyFill="1" applyBorder="1" applyAlignment="1">
      <alignment horizontal="left" vertical="center" wrapText="1"/>
    </xf>
    <xf numFmtId="43" fontId="13" fillId="7" borderId="19" xfId="5" applyFont="1" applyFill="1" applyBorder="1" applyAlignment="1">
      <alignment horizontal="left" vertical="center" wrapText="1"/>
    </xf>
    <xf numFmtId="43" fontId="13" fillId="7" borderId="17" xfId="5" applyFont="1" applyFill="1" applyBorder="1" applyAlignment="1">
      <alignment horizontal="center" vertical="top" wrapText="1"/>
    </xf>
    <xf numFmtId="43" fontId="13" fillId="7" borderId="18" xfId="5" applyFont="1" applyFill="1" applyBorder="1" applyAlignment="1">
      <alignment horizontal="center" vertical="top" wrapText="1"/>
    </xf>
    <xf numFmtId="43" fontId="13" fillId="7" borderId="19" xfId="5" applyFont="1" applyFill="1" applyBorder="1" applyAlignment="1">
      <alignment horizontal="center" vertical="top" wrapText="1"/>
    </xf>
    <xf numFmtId="43" fontId="13" fillId="7" borderId="8" xfId="5" applyFont="1" applyFill="1" applyBorder="1" applyAlignment="1">
      <alignment horizontal="center" vertical="center" wrapText="1"/>
    </xf>
    <xf numFmtId="43" fontId="13" fillId="7" borderId="9" xfId="5" applyFont="1" applyFill="1" applyBorder="1" applyAlignment="1">
      <alignment horizontal="center" vertical="center" wrapText="1"/>
    </xf>
    <xf numFmtId="43" fontId="13" fillId="7" borderId="10" xfId="5" applyFont="1" applyFill="1" applyBorder="1" applyAlignment="1">
      <alignment horizontal="center" vertical="center" wrapText="1"/>
    </xf>
    <xf numFmtId="43" fontId="13" fillId="7" borderId="17" xfId="5" applyFont="1" applyFill="1" applyBorder="1" applyAlignment="1">
      <alignment vertical="center" wrapText="1"/>
    </xf>
    <xf numFmtId="43" fontId="13" fillId="7" borderId="18" xfId="5" applyFont="1" applyFill="1" applyBorder="1" applyAlignment="1">
      <alignment vertical="center" wrapText="1"/>
    </xf>
    <xf numFmtId="43" fontId="13" fillId="7" borderId="19" xfId="5" applyFont="1" applyFill="1" applyBorder="1" applyAlignment="1">
      <alignment vertical="center" wrapText="1"/>
    </xf>
    <xf numFmtId="0" fontId="14" fillId="0" borderId="23" xfId="2" applyNumberFormat="1" applyFont="1" applyFill="1" applyBorder="1" applyAlignment="1">
      <alignment horizontal="center" vertical="center"/>
    </xf>
    <xf numFmtId="0" fontId="14" fillId="0" borderId="24" xfId="2" applyNumberFormat="1" applyFont="1" applyFill="1" applyBorder="1" applyAlignment="1">
      <alignment horizontal="center" vertical="center"/>
    </xf>
    <xf numFmtId="0" fontId="14" fillId="0" borderId="14" xfId="2" applyNumberFormat="1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1" fillId="0" borderId="12" xfId="1" applyBorder="1" applyAlignment="1">
      <alignment horizontal="center"/>
    </xf>
    <xf numFmtId="0" fontId="12" fillId="0" borderId="0" xfId="1" applyFont="1" applyAlignment="1">
      <alignment horizontal="center"/>
    </xf>
  </cellXfs>
  <cellStyles count="6">
    <cellStyle name="Normal" xfId="0" builtinId="0"/>
    <cellStyle name="Normal 2" xfId="1"/>
    <cellStyle name="Normal_Estudo Sidrolândia" xfId="2"/>
    <cellStyle name="Normal_Quantificação - Av Cel Stuck e Rua Rondonópolis" xfId="3"/>
    <cellStyle name="Porcentagem 2" xfId="4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205539</xdr:colOff>
      <xdr:row>1</xdr:row>
      <xdr:rowOff>1</xdr:rowOff>
    </xdr:from>
    <xdr:to>
      <xdr:col>1</xdr:col>
      <xdr:colOff>709003</xdr:colOff>
      <xdr:row>5</xdr:row>
      <xdr:rowOff>8663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39" y="40106"/>
          <a:ext cx="854385" cy="770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0</xdr:row>
      <xdr:rowOff>0</xdr:rowOff>
    </xdr:from>
    <xdr:to>
      <xdr:col>1</xdr:col>
      <xdr:colOff>1036544</xdr:colOff>
      <xdr:row>4</xdr:row>
      <xdr:rowOff>8662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76" y="0"/>
          <a:ext cx="857250" cy="770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47625</xdr:rowOff>
    </xdr:from>
    <xdr:to>
      <xdr:col>1</xdr:col>
      <xdr:colOff>1687687</xdr:colOff>
      <xdr:row>3</xdr:row>
      <xdr:rowOff>152400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47625"/>
          <a:ext cx="754237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70" zoomScaleNormal="70" workbookViewId="0">
      <selection activeCell="O10" sqref="O10"/>
    </sheetView>
  </sheetViews>
  <sheetFormatPr defaultRowHeight="15" x14ac:dyDescent="0.25"/>
  <cols>
    <col min="1" max="1" width="5.28515625" style="10" bestFit="1" customWidth="1"/>
    <col min="2" max="2" width="13.42578125" style="10" bestFit="1" customWidth="1"/>
    <col min="3" max="3" width="106" style="10" bestFit="1" customWidth="1"/>
    <col min="4" max="4" width="6.28515625" style="10" customWidth="1"/>
    <col min="5" max="5" width="8.7109375" style="10" bestFit="1" customWidth="1"/>
    <col min="6" max="6" width="16.42578125" style="10" customWidth="1"/>
    <col min="7" max="7" width="15.7109375" style="10" customWidth="1"/>
    <col min="8" max="8" width="12" style="10" customWidth="1"/>
    <col min="9" max="9" width="17.28515625" style="10" bestFit="1" customWidth="1"/>
    <col min="10" max="13" width="9.140625" style="10"/>
    <col min="14" max="14" width="21.42578125" style="10" bestFit="1" customWidth="1"/>
    <col min="15" max="15" width="17.140625" style="10" bestFit="1" customWidth="1"/>
    <col min="16" max="16384" width="9.140625" style="10"/>
  </cols>
  <sheetData>
    <row r="1" spans="1:15" ht="3" customHeight="1" x14ac:dyDescent="0.25"/>
    <row r="2" spans="1:15" x14ac:dyDescent="0.25">
      <c r="A2" s="98"/>
      <c r="B2" s="99"/>
      <c r="C2" s="31" t="s">
        <v>0</v>
      </c>
      <c r="D2" s="31"/>
      <c r="E2" s="31"/>
      <c r="F2" s="95" t="s">
        <v>6</v>
      </c>
      <c r="G2" s="95"/>
      <c r="H2" s="95"/>
      <c r="I2" s="95"/>
    </row>
    <row r="3" spans="1:15" x14ac:dyDescent="0.25">
      <c r="A3" s="98"/>
      <c r="B3" s="99"/>
      <c r="C3" s="31" t="s">
        <v>82</v>
      </c>
      <c r="D3" s="31"/>
      <c r="E3" s="31"/>
      <c r="F3" s="9" t="s">
        <v>60</v>
      </c>
      <c r="G3" s="9" t="s">
        <v>1</v>
      </c>
      <c r="H3" s="9" t="s">
        <v>2</v>
      </c>
      <c r="I3" s="9" t="s">
        <v>3</v>
      </c>
      <c r="M3" s="12"/>
      <c r="N3" s="54" t="s">
        <v>121</v>
      </c>
      <c r="O3" s="54" t="s">
        <v>68</v>
      </c>
    </row>
    <row r="4" spans="1:15" ht="15" customHeight="1" x14ac:dyDescent="0.25">
      <c r="A4" s="98"/>
      <c r="B4" s="99"/>
      <c r="C4" s="31" t="s">
        <v>62</v>
      </c>
      <c r="D4" s="31"/>
      <c r="E4" s="31"/>
      <c r="F4" s="2"/>
      <c r="G4" s="9"/>
      <c r="H4" s="8" t="s">
        <v>4</v>
      </c>
      <c r="I4" s="45">
        <v>0.28810000000000002</v>
      </c>
      <c r="M4" s="54" t="s">
        <v>73</v>
      </c>
      <c r="N4" s="60">
        <v>116.7</v>
      </c>
      <c r="O4" s="10">
        <v>11</v>
      </c>
    </row>
    <row r="5" spans="1:15" x14ac:dyDescent="0.25">
      <c r="A5" s="98"/>
      <c r="B5" s="99"/>
      <c r="C5" s="31" t="s">
        <v>71</v>
      </c>
      <c r="D5" s="31"/>
      <c r="E5" s="31"/>
      <c r="F5" s="96" t="s">
        <v>5</v>
      </c>
      <c r="G5" s="96"/>
      <c r="H5" s="97">
        <f>I55</f>
        <v>149383.25</v>
      </c>
      <c r="I5" s="96"/>
      <c r="M5" s="54" t="s">
        <v>67</v>
      </c>
      <c r="N5" s="60">
        <v>146.75</v>
      </c>
      <c r="O5" s="10">
        <v>15</v>
      </c>
    </row>
    <row r="6" spans="1:15" ht="3" customHeight="1" x14ac:dyDescent="0.25"/>
    <row r="7" spans="1:15" ht="26.25" x14ac:dyDescent="0.25">
      <c r="A7" s="104" t="s">
        <v>7</v>
      </c>
      <c r="B7" s="104"/>
      <c r="C7" s="104"/>
      <c r="D7" s="104"/>
      <c r="E7" s="104"/>
      <c r="F7" s="104"/>
      <c r="G7" s="104"/>
      <c r="H7" s="104"/>
      <c r="I7" s="104"/>
    </row>
    <row r="8" spans="1:15" ht="3" customHeight="1" x14ac:dyDescent="0.25"/>
    <row r="9" spans="1:15" ht="45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2" t="s">
        <v>13</v>
      </c>
      <c r="G9" s="2" t="s">
        <v>14</v>
      </c>
      <c r="H9" s="2" t="s">
        <v>15</v>
      </c>
      <c r="I9" s="2" t="s">
        <v>16</v>
      </c>
    </row>
    <row r="10" spans="1:15" x14ac:dyDescent="0.25">
      <c r="A10" s="43" t="s">
        <v>78</v>
      </c>
      <c r="B10" s="101" t="s">
        <v>85</v>
      </c>
      <c r="C10" s="102"/>
      <c r="D10" s="102"/>
      <c r="E10" s="102"/>
      <c r="F10" s="102"/>
      <c r="G10" s="102"/>
      <c r="H10" s="103"/>
      <c r="I10" s="3">
        <f>SUM(H11:H12)</f>
        <v>1452.06</v>
      </c>
    </row>
    <row r="11" spans="1:15" x14ac:dyDescent="0.25">
      <c r="A11" s="24" t="s">
        <v>17</v>
      </c>
      <c r="B11" s="1" t="s">
        <v>86</v>
      </c>
      <c r="C11" s="13" t="s">
        <v>87</v>
      </c>
      <c r="D11" s="24" t="s">
        <v>47</v>
      </c>
      <c r="E11" s="32">
        <v>3</v>
      </c>
      <c r="F11" s="14">
        <v>266.61</v>
      </c>
      <c r="G11" s="15">
        <f>TRUNC(F11*(1+$I$4),2)</f>
        <v>343.42</v>
      </c>
      <c r="H11" s="15">
        <f>TRUNC(G11*E11,2)</f>
        <v>1030.26</v>
      </c>
      <c r="I11" s="44"/>
    </row>
    <row r="12" spans="1:15" x14ac:dyDescent="0.25">
      <c r="A12" s="24" t="s">
        <v>79</v>
      </c>
      <c r="B12" s="1">
        <v>13244</v>
      </c>
      <c r="C12" s="13" t="s">
        <v>123</v>
      </c>
      <c r="D12" s="24" t="s">
        <v>88</v>
      </c>
      <c r="E12" s="32">
        <v>6</v>
      </c>
      <c r="F12" s="14">
        <v>54.58</v>
      </c>
      <c r="G12" s="15">
        <f>TRUNC(F12*(1+$I$4),2)</f>
        <v>70.3</v>
      </c>
      <c r="H12" s="15">
        <f>TRUNC(G12*E12,2)</f>
        <v>421.8</v>
      </c>
      <c r="I12" s="44"/>
    </row>
    <row r="13" spans="1:15" ht="15.75" x14ac:dyDescent="0.25">
      <c r="F13" s="105" t="s">
        <v>69</v>
      </c>
      <c r="G13" s="105"/>
      <c r="H13" s="105"/>
      <c r="I13" s="59">
        <f>I10</f>
        <v>1452.06</v>
      </c>
    </row>
    <row r="14" spans="1:15" x14ac:dyDescent="0.25">
      <c r="A14" s="57"/>
      <c r="B14" s="58"/>
      <c r="C14" s="58"/>
      <c r="D14" s="58"/>
      <c r="E14" s="58"/>
      <c r="F14" s="52"/>
      <c r="G14" s="52"/>
      <c r="H14" s="52"/>
      <c r="I14" s="53"/>
    </row>
    <row r="15" spans="1:15" ht="19.5" x14ac:dyDescent="0.25">
      <c r="A15" s="109" t="s">
        <v>73</v>
      </c>
      <c r="B15" s="110"/>
      <c r="C15" s="110"/>
      <c r="D15" s="110"/>
      <c r="E15" s="110"/>
      <c r="F15" s="110"/>
      <c r="G15" s="110"/>
      <c r="H15" s="110"/>
      <c r="I15" s="111"/>
    </row>
    <row r="16" spans="1:15" s="12" customFormat="1" x14ac:dyDescent="0.25">
      <c r="A16" s="23" t="s">
        <v>101</v>
      </c>
      <c r="B16" s="101" t="s">
        <v>26</v>
      </c>
      <c r="C16" s="102"/>
      <c r="D16" s="102"/>
      <c r="E16" s="102"/>
      <c r="F16" s="102"/>
      <c r="G16" s="102"/>
      <c r="H16" s="103"/>
      <c r="I16" s="3">
        <f>SUM(H17:H19)</f>
        <v>9844.8799999999992</v>
      </c>
    </row>
    <row r="17" spans="1:14" ht="30" x14ac:dyDescent="0.25">
      <c r="A17" s="24" t="s">
        <v>27</v>
      </c>
      <c r="B17" s="1">
        <v>92970</v>
      </c>
      <c r="C17" s="13" t="s">
        <v>25</v>
      </c>
      <c r="D17" s="24" t="s">
        <v>47</v>
      </c>
      <c r="E17" s="32">
        <f>TRUNC(6*N4,2)</f>
        <v>700.2</v>
      </c>
      <c r="F17" s="14">
        <v>9.36</v>
      </c>
      <c r="G17" s="15">
        <f>TRUNC(F17*(1+$I$4),2)</f>
        <v>12.05</v>
      </c>
      <c r="H17" s="15">
        <f>TRUNC(G17*E17,2)</f>
        <v>8437.41</v>
      </c>
      <c r="I17" s="16"/>
    </row>
    <row r="18" spans="1:14" x14ac:dyDescent="0.25">
      <c r="A18" s="24" t="s">
        <v>28</v>
      </c>
      <c r="B18" s="1">
        <v>73616</v>
      </c>
      <c r="C18" s="13" t="s">
        <v>122</v>
      </c>
      <c r="D18" s="24" t="s">
        <v>51</v>
      </c>
      <c r="E18" s="32">
        <v>1.502</v>
      </c>
      <c r="F18" s="14">
        <v>190.54</v>
      </c>
      <c r="G18" s="15">
        <f>TRUNC(F18*(1+$I$4),2)</f>
        <v>245.43</v>
      </c>
      <c r="H18" s="15">
        <f>TRUNC(G18*E18,2)</f>
        <v>368.63</v>
      </c>
      <c r="I18" s="56"/>
    </row>
    <row r="19" spans="1:14" x14ac:dyDescent="0.25">
      <c r="A19" s="24" t="s">
        <v>28</v>
      </c>
      <c r="B19" s="1">
        <v>85335</v>
      </c>
      <c r="C19" s="13" t="s">
        <v>113</v>
      </c>
      <c r="D19" s="24" t="s">
        <v>24</v>
      </c>
      <c r="E19" s="32">
        <f>TRUNC(12*O4,2)</f>
        <v>132</v>
      </c>
      <c r="F19" s="14">
        <v>6.11</v>
      </c>
      <c r="G19" s="15">
        <f>TRUNC(F19*(1+$I$4),2)</f>
        <v>7.87</v>
      </c>
      <c r="H19" s="15">
        <f>TRUNC(G19*E19,2)</f>
        <v>1038.8399999999999</v>
      </c>
      <c r="I19" s="44"/>
    </row>
    <row r="20" spans="1:14" s="12" customFormat="1" x14ac:dyDescent="0.25">
      <c r="A20" s="23" t="s">
        <v>100</v>
      </c>
      <c r="B20" s="101" t="s">
        <v>18</v>
      </c>
      <c r="C20" s="102"/>
      <c r="D20" s="102"/>
      <c r="E20" s="102"/>
      <c r="F20" s="102"/>
      <c r="G20" s="102"/>
      <c r="H20" s="103"/>
      <c r="I20" s="3">
        <f>SUM(H22:H23)+SUM(H25:H25)+SUM(H27:H29)</f>
        <v>85241.79</v>
      </c>
    </row>
    <row r="21" spans="1:14" x14ac:dyDescent="0.25">
      <c r="A21" s="24"/>
      <c r="C21" s="31" t="s">
        <v>19</v>
      </c>
      <c r="D21" s="24"/>
      <c r="E21" s="6"/>
      <c r="F21" s="6"/>
      <c r="G21" s="6"/>
      <c r="H21" s="6"/>
      <c r="I21" s="106"/>
    </row>
    <row r="22" spans="1:14" x14ac:dyDescent="0.25">
      <c r="A22" s="24" t="s">
        <v>37</v>
      </c>
      <c r="B22" s="1">
        <v>94965</v>
      </c>
      <c r="C22" s="6" t="s">
        <v>61</v>
      </c>
      <c r="D22" s="24" t="s">
        <v>51</v>
      </c>
      <c r="E22" s="55">
        <f>TRUNC(0.28*N4,2)</f>
        <v>32.67</v>
      </c>
      <c r="F22" s="14">
        <v>284.51</v>
      </c>
      <c r="G22" s="15">
        <f>TRUNC(F22*(1+$I$4),2)</f>
        <v>366.47</v>
      </c>
      <c r="H22" s="15">
        <f>TRUNC(G22*E22,2)</f>
        <v>11972.57</v>
      </c>
      <c r="I22" s="107"/>
    </row>
    <row r="23" spans="1:14" x14ac:dyDescent="0.25">
      <c r="A23" s="24" t="s">
        <v>38</v>
      </c>
      <c r="B23" s="1" t="s">
        <v>75</v>
      </c>
      <c r="C23" s="17" t="s">
        <v>58</v>
      </c>
      <c r="D23" s="24" t="s">
        <v>47</v>
      </c>
      <c r="E23" s="32">
        <f>TRUNC(2.88*N4,2)</f>
        <v>336.09</v>
      </c>
      <c r="F23" s="14">
        <f>Composição!G11</f>
        <v>18.580000000000002</v>
      </c>
      <c r="G23" s="15">
        <f>TRUNC(F23*(1+$I$4),2)</f>
        <v>23.93</v>
      </c>
      <c r="H23" s="15">
        <f>TRUNC(G23*E23,2)</f>
        <v>8042.63</v>
      </c>
      <c r="I23" s="107"/>
    </row>
    <row r="24" spans="1:14" x14ac:dyDescent="0.25">
      <c r="A24" s="24"/>
      <c r="C24" s="6" t="s">
        <v>23</v>
      </c>
      <c r="D24" s="24"/>
      <c r="E24" s="6"/>
      <c r="F24" s="6"/>
      <c r="G24" s="6"/>
      <c r="H24" s="6"/>
      <c r="I24" s="107"/>
    </row>
    <row r="25" spans="1:14" x14ac:dyDescent="0.25">
      <c r="A25" s="24" t="s">
        <v>39</v>
      </c>
      <c r="B25" s="1" t="s">
        <v>112</v>
      </c>
      <c r="C25" s="6" t="s">
        <v>124</v>
      </c>
      <c r="D25" s="24" t="s">
        <v>24</v>
      </c>
      <c r="E25" s="32">
        <f>TRUNC(12*O4,2)</f>
        <v>132</v>
      </c>
      <c r="F25" s="14">
        <f>Composição!G26</f>
        <v>17.12</v>
      </c>
      <c r="G25" s="15">
        <f>TRUNC(F25*(1+$I$4),2)</f>
        <v>22.05</v>
      </c>
      <c r="H25" s="15">
        <f>TRUNC(G25*E25,2)</f>
        <v>2910.6</v>
      </c>
      <c r="I25" s="107"/>
    </row>
    <row r="26" spans="1:14" x14ac:dyDescent="0.25">
      <c r="A26" s="24"/>
      <c r="C26" s="31" t="s">
        <v>84</v>
      </c>
      <c r="D26" s="24"/>
      <c r="E26" s="6"/>
      <c r="F26" s="6"/>
      <c r="G26" s="6"/>
      <c r="H26" s="6"/>
      <c r="I26" s="107"/>
    </row>
    <row r="27" spans="1:14" ht="30" x14ac:dyDescent="0.25">
      <c r="A27" s="24" t="s">
        <v>40</v>
      </c>
      <c r="B27" s="1">
        <v>94965</v>
      </c>
      <c r="C27" s="13" t="s">
        <v>61</v>
      </c>
      <c r="D27" s="24" t="s">
        <v>51</v>
      </c>
      <c r="E27" s="32">
        <f>TRUNC(0.92*N4,2)</f>
        <v>107.36</v>
      </c>
      <c r="F27" s="14">
        <v>284.51</v>
      </c>
      <c r="G27" s="15">
        <f>TRUNC(F27*(1+$I$4),2)</f>
        <v>366.47</v>
      </c>
      <c r="H27" s="15">
        <f>TRUNC(G27*E27,2)</f>
        <v>39344.21</v>
      </c>
      <c r="I27" s="107"/>
    </row>
    <row r="28" spans="1:14" x14ac:dyDescent="0.25">
      <c r="A28" s="24" t="s">
        <v>89</v>
      </c>
      <c r="B28" s="1" t="s">
        <v>20</v>
      </c>
      <c r="C28" s="6" t="s">
        <v>21</v>
      </c>
      <c r="D28" s="24" t="s">
        <v>47</v>
      </c>
      <c r="E28" s="32">
        <f>TRUNC(2*O4,2)</f>
        <v>22</v>
      </c>
      <c r="F28" s="14">
        <v>22.26</v>
      </c>
      <c r="G28" s="15">
        <f>TRUNC(F28*(1+$I$4),2)</f>
        <v>28.67</v>
      </c>
      <c r="H28" s="15">
        <f>TRUNC(G28*E28,2)</f>
        <v>630.74</v>
      </c>
      <c r="I28" s="107"/>
    </row>
    <row r="29" spans="1:14" x14ac:dyDescent="0.25">
      <c r="A29" s="24" t="s">
        <v>90</v>
      </c>
      <c r="B29" s="1" t="s">
        <v>75</v>
      </c>
      <c r="C29" s="17" t="s">
        <v>58</v>
      </c>
      <c r="D29" s="24" t="s">
        <v>47</v>
      </c>
      <c r="E29" s="32">
        <f>TRUNC(8*N4,2)</f>
        <v>933.6</v>
      </c>
      <c r="F29" s="14">
        <f>Composição!G11</f>
        <v>18.580000000000002</v>
      </c>
      <c r="G29" s="15">
        <f>TRUNC(F29*(1+$I$4),2)</f>
        <v>23.93</v>
      </c>
      <c r="H29" s="15">
        <f>TRUNC(G29*E29,2)</f>
        <v>22341.040000000001</v>
      </c>
      <c r="I29" s="108"/>
    </row>
    <row r="30" spans="1:14" s="12" customFormat="1" x14ac:dyDescent="0.25">
      <c r="A30" s="23" t="s">
        <v>99</v>
      </c>
      <c r="B30" s="101" t="s">
        <v>33</v>
      </c>
      <c r="C30" s="102"/>
      <c r="D30" s="102"/>
      <c r="E30" s="102"/>
      <c r="F30" s="102"/>
      <c r="G30" s="102"/>
      <c r="H30" s="103"/>
      <c r="I30" s="3">
        <f>SUM(H31:H34)</f>
        <v>23960.11</v>
      </c>
      <c r="K30" s="10"/>
      <c r="L30" s="10"/>
      <c r="M30" s="10"/>
      <c r="N30" s="10"/>
    </row>
    <row r="31" spans="1:14" x14ac:dyDescent="0.25">
      <c r="A31" s="24" t="s">
        <v>42</v>
      </c>
      <c r="B31" s="6" t="s">
        <v>34</v>
      </c>
      <c r="C31" s="6" t="s">
        <v>35</v>
      </c>
      <c r="D31" s="24" t="s">
        <v>47</v>
      </c>
      <c r="E31" s="32">
        <f>TRUNC(6*N4,2)</f>
        <v>700.2</v>
      </c>
      <c r="F31" s="14">
        <v>6.97</v>
      </c>
      <c r="G31" s="15">
        <f>TRUNC(F31*(1+$I$4),2)</f>
        <v>8.9700000000000006</v>
      </c>
      <c r="H31" s="15">
        <f>TRUNC(G31*E31,2)</f>
        <v>6280.79</v>
      </c>
      <c r="I31" s="106"/>
    </row>
    <row r="32" spans="1:14" ht="30" x14ac:dyDescent="0.25">
      <c r="A32" s="24" t="s">
        <v>91</v>
      </c>
      <c r="B32" s="1">
        <v>72947</v>
      </c>
      <c r="C32" s="13" t="s">
        <v>36</v>
      </c>
      <c r="D32" s="24" t="s">
        <v>47</v>
      </c>
      <c r="E32" s="32">
        <f>TRUNC(2*N4,2)</f>
        <v>233.4</v>
      </c>
      <c r="F32" s="14">
        <v>25.93</v>
      </c>
      <c r="G32" s="15">
        <f>TRUNC(F32*(1+$I$4),2)</f>
        <v>33.4</v>
      </c>
      <c r="H32" s="15">
        <f>TRUNC(G32*E32,2)</f>
        <v>7795.56</v>
      </c>
      <c r="I32" s="107"/>
    </row>
    <row r="33" spans="1:12" ht="30" x14ac:dyDescent="0.25">
      <c r="A33" s="24" t="s">
        <v>92</v>
      </c>
      <c r="B33" s="1">
        <v>72947</v>
      </c>
      <c r="C33" s="13" t="s">
        <v>59</v>
      </c>
      <c r="D33" s="24" t="s">
        <v>47</v>
      </c>
      <c r="E33" s="32">
        <f>TRUNC(0.3333333*N4,2)</f>
        <v>38.89</v>
      </c>
      <c r="F33" s="14">
        <v>25.93</v>
      </c>
      <c r="G33" s="15">
        <f>TRUNC(F33*(1+$I$4),2)</f>
        <v>33.4</v>
      </c>
      <c r="H33" s="15">
        <f>TRUNC(G33*E33,2)</f>
        <v>1298.92</v>
      </c>
      <c r="I33" s="107"/>
    </row>
    <row r="34" spans="1:12" x14ac:dyDescent="0.25">
      <c r="A34" s="24" t="s">
        <v>93</v>
      </c>
      <c r="B34" s="6" t="s">
        <v>76</v>
      </c>
      <c r="C34" s="6" t="s">
        <v>111</v>
      </c>
      <c r="D34" s="24" t="s">
        <v>11</v>
      </c>
      <c r="E34" s="32">
        <f>TRUNC(2*O4,2)</f>
        <v>22</v>
      </c>
      <c r="F34" s="14">
        <f>Composição!G17</f>
        <v>302.95000000000005</v>
      </c>
      <c r="G34" s="15">
        <f>TRUNC(F34*(1+$I$4),2)</f>
        <v>390.22</v>
      </c>
      <c r="H34" s="15">
        <f>TRUNC(G34*E34,2)</f>
        <v>8584.84</v>
      </c>
      <c r="I34" s="108"/>
      <c r="L34" s="18"/>
    </row>
    <row r="35" spans="1:12" s="12" customFormat="1" x14ac:dyDescent="0.25">
      <c r="A35" s="23" t="s">
        <v>98</v>
      </c>
      <c r="B35" s="101" t="s">
        <v>41</v>
      </c>
      <c r="C35" s="102"/>
      <c r="D35" s="102"/>
      <c r="E35" s="102"/>
      <c r="F35" s="102"/>
      <c r="G35" s="102"/>
      <c r="H35" s="103"/>
      <c r="I35" s="3">
        <f>SUM(H36)</f>
        <v>1848.52</v>
      </c>
      <c r="L35" s="19"/>
    </row>
    <row r="36" spans="1:12" x14ac:dyDescent="0.25">
      <c r="A36" s="24" t="s">
        <v>94</v>
      </c>
      <c r="B36" s="1">
        <v>9537</v>
      </c>
      <c r="C36" s="6" t="s">
        <v>43</v>
      </c>
      <c r="D36" s="24" t="s">
        <v>47</v>
      </c>
      <c r="E36" s="32">
        <f>TRUNC(6*N4,2)</f>
        <v>700.2</v>
      </c>
      <c r="F36" s="14">
        <v>2.0499999999999998</v>
      </c>
      <c r="G36" s="15">
        <f>TRUNC(F36*(1+$I$4),2)</f>
        <v>2.64</v>
      </c>
      <c r="H36" s="15">
        <f>TRUNC(G36*E36,2)</f>
        <v>1848.52</v>
      </c>
      <c r="I36" s="6"/>
      <c r="L36" s="18"/>
    </row>
    <row r="37" spans="1:12" ht="15.75" x14ac:dyDescent="0.25">
      <c r="F37" s="105" t="s">
        <v>69</v>
      </c>
      <c r="G37" s="105"/>
      <c r="H37" s="105"/>
      <c r="I37" s="59">
        <f>I35+I30+I20+I16</f>
        <v>120895.3</v>
      </c>
      <c r="L37" s="18"/>
    </row>
    <row r="38" spans="1:12" x14ac:dyDescent="0.25">
      <c r="F38" s="100"/>
      <c r="G38" s="100"/>
      <c r="H38" s="100"/>
      <c r="I38" s="20"/>
      <c r="L38" s="18"/>
    </row>
    <row r="39" spans="1:12" ht="3" customHeight="1" x14ac:dyDescent="0.25">
      <c r="F39" s="28"/>
      <c r="G39" s="28"/>
      <c r="H39" s="28"/>
      <c r="I39" s="26"/>
      <c r="J39" s="27"/>
    </row>
    <row r="40" spans="1:12" ht="19.5" x14ac:dyDescent="0.25">
      <c r="A40" s="112" t="s">
        <v>67</v>
      </c>
      <c r="B40" s="112"/>
      <c r="C40" s="112"/>
      <c r="D40" s="112"/>
      <c r="E40" s="112"/>
      <c r="F40" s="112"/>
      <c r="G40" s="112"/>
      <c r="H40" s="112"/>
      <c r="I40" s="112"/>
    </row>
    <row r="41" spans="1:12" x14ac:dyDescent="0.25">
      <c r="A41" s="23" t="s">
        <v>97</v>
      </c>
      <c r="B41" s="101" t="s">
        <v>70</v>
      </c>
      <c r="C41" s="102"/>
      <c r="D41" s="102"/>
      <c r="E41" s="102"/>
      <c r="F41" s="102"/>
      <c r="G41" s="102"/>
      <c r="H41" s="103"/>
      <c r="I41" s="3">
        <f>H42</f>
        <v>2652.44</v>
      </c>
    </row>
    <row r="42" spans="1:12" ht="30" x14ac:dyDescent="0.25">
      <c r="A42" s="24" t="s">
        <v>95</v>
      </c>
      <c r="B42" s="1">
        <v>92970</v>
      </c>
      <c r="C42" s="13" t="s">
        <v>25</v>
      </c>
      <c r="D42" s="24" t="s">
        <v>47</v>
      </c>
      <c r="E42" s="32">
        <f>TRUNC(1.5*N5,2)</f>
        <v>220.12</v>
      </c>
      <c r="F42" s="14">
        <v>9.36</v>
      </c>
      <c r="G42" s="15">
        <f>TRUNC(F42*(1+$I$4),2)</f>
        <v>12.05</v>
      </c>
      <c r="H42" s="15">
        <f>TRUNC(G42*E42,2)</f>
        <v>2652.44</v>
      </c>
      <c r="I42" s="16"/>
    </row>
    <row r="43" spans="1:12" x14ac:dyDescent="0.25">
      <c r="A43" s="23" t="s">
        <v>96</v>
      </c>
      <c r="B43" s="101" t="s">
        <v>67</v>
      </c>
      <c r="C43" s="102"/>
      <c r="D43" s="102"/>
      <c r="E43" s="102"/>
      <c r="F43" s="102"/>
      <c r="G43" s="102"/>
      <c r="H43" s="103"/>
      <c r="I43" s="3">
        <f>SUM(H44:H46)</f>
        <v>7641.1399999999994</v>
      </c>
    </row>
    <row r="44" spans="1:12" x14ac:dyDescent="0.25">
      <c r="A44" s="24" t="s">
        <v>102</v>
      </c>
      <c r="B44" s="1">
        <v>94964</v>
      </c>
      <c r="C44" s="6" t="s">
        <v>63</v>
      </c>
      <c r="D44" s="24" t="s">
        <v>51</v>
      </c>
      <c r="E44" s="32">
        <f>TRUNC(0.1102*N5,2)</f>
        <v>16.170000000000002</v>
      </c>
      <c r="F44" s="14">
        <v>272.43</v>
      </c>
      <c r="G44" s="15">
        <f>TRUNC(F44*(1+$I$4),2)</f>
        <v>350.91</v>
      </c>
      <c r="H44" s="15">
        <f>TRUNC(G44*E44,2)</f>
        <v>5674.21</v>
      </c>
      <c r="I44" s="107"/>
    </row>
    <row r="45" spans="1:12" x14ac:dyDescent="0.25">
      <c r="A45" s="24" t="s">
        <v>103</v>
      </c>
      <c r="B45" s="1">
        <v>87301</v>
      </c>
      <c r="C45" s="6" t="s">
        <v>64</v>
      </c>
      <c r="D45" s="24" t="s">
        <v>51</v>
      </c>
      <c r="E45" s="32">
        <f>TRUNC(0.01*N5,2)</f>
        <v>1.46</v>
      </c>
      <c r="F45" s="14">
        <v>346.01</v>
      </c>
      <c r="G45" s="15">
        <f>TRUNC(F45*(1+$I$4),2)</f>
        <v>445.69</v>
      </c>
      <c r="H45" s="15">
        <f>TRUNC(G45*E45,2)</f>
        <v>650.70000000000005</v>
      </c>
      <c r="I45" s="107"/>
    </row>
    <row r="46" spans="1:12" x14ac:dyDescent="0.25">
      <c r="A46" s="24" t="s">
        <v>104</v>
      </c>
      <c r="B46" s="1">
        <v>94107</v>
      </c>
      <c r="C46" s="17" t="s">
        <v>65</v>
      </c>
      <c r="D46" s="24" t="s">
        <v>51</v>
      </c>
      <c r="E46" s="32">
        <f>TRUNC((1.5*0.03)*N5,2)</f>
        <v>6.6</v>
      </c>
      <c r="F46" s="14">
        <v>154.83000000000001</v>
      </c>
      <c r="G46" s="15">
        <f>TRUNC(F46*(1+$I$4),2)</f>
        <v>199.43</v>
      </c>
      <c r="H46" s="15">
        <f>TRUNC(G46*E46,2)</f>
        <v>1316.23</v>
      </c>
      <c r="I46" s="107"/>
    </row>
    <row r="47" spans="1:12" x14ac:dyDescent="0.25">
      <c r="A47" s="23" t="s">
        <v>105</v>
      </c>
      <c r="B47" s="101" t="s">
        <v>33</v>
      </c>
      <c r="C47" s="102"/>
      <c r="D47" s="102"/>
      <c r="E47" s="102"/>
      <c r="F47" s="102"/>
      <c r="G47" s="102"/>
      <c r="H47" s="103"/>
      <c r="I47" s="3">
        <f>SUM(H48:H50)</f>
        <v>16161.18</v>
      </c>
    </row>
    <row r="48" spans="1:12" x14ac:dyDescent="0.25">
      <c r="A48" s="24" t="s">
        <v>106</v>
      </c>
      <c r="B48" s="6" t="s">
        <v>34</v>
      </c>
      <c r="C48" s="6" t="s">
        <v>35</v>
      </c>
      <c r="D48" s="24" t="s">
        <v>47</v>
      </c>
      <c r="E48" s="32">
        <f>TRUNC(1.5*N5,2)</f>
        <v>220.12</v>
      </c>
      <c r="F48" s="14">
        <v>6.97</v>
      </c>
      <c r="G48" s="15">
        <f>TRUNC(F48*(1+$I$4),2)</f>
        <v>8.9700000000000006</v>
      </c>
      <c r="H48" s="15">
        <f>TRUNC(G48*E48,2)</f>
        <v>1974.47</v>
      </c>
      <c r="I48" s="106"/>
    </row>
    <row r="49" spans="1:9" ht="30" x14ac:dyDescent="0.25">
      <c r="A49" s="24" t="s">
        <v>107</v>
      </c>
      <c r="B49" s="1">
        <v>72947</v>
      </c>
      <c r="C49" s="13" t="s">
        <v>59</v>
      </c>
      <c r="D49" s="24" t="s">
        <v>47</v>
      </c>
      <c r="E49" s="32">
        <f>TRUNC(0.506*N5,3)</f>
        <v>74.254999999999995</v>
      </c>
      <c r="F49" s="14">
        <v>25.93</v>
      </c>
      <c r="G49" s="15">
        <f>TRUNC(F49*(1+$I$4),2)</f>
        <v>33.4</v>
      </c>
      <c r="H49" s="15">
        <f>TRUNC(G49*E49,2)</f>
        <v>2480.11</v>
      </c>
      <c r="I49" s="107"/>
    </row>
    <row r="50" spans="1:9" x14ac:dyDescent="0.25">
      <c r="A50" s="24" t="s">
        <v>108</v>
      </c>
      <c r="B50" s="6" t="s">
        <v>76</v>
      </c>
      <c r="C50" s="6" t="s">
        <v>111</v>
      </c>
      <c r="D50" s="24" t="s">
        <v>11</v>
      </c>
      <c r="E50" s="32">
        <f>TRUNC(2*O5,2)</f>
        <v>30</v>
      </c>
      <c r="F50" s="14">
        <f>Composição!G17</f>
        <v>302.95000000000005</v>
      </c>
      <c r="G50" s="15">
        <f>TRUNC(F50*(1+$I$4),2)</f>
        <v>390.22</v>
      </c>
      <c r="H50" s="15">
        <f>TRUNC(G50*E50,2)</f>
        <v>11706.6</v>
      </c>
      <c r="I50" s="108"/>
    </row>
    <row r="51" spans="1:9" x14ac:dyDescent="0.25">
      <c r="A51" s="23" t="s">
        <v>109</v>
      </c>
      <c r="B51" s="101" t="s">
        <v>41</v>
      </c>
      <c r="C51" s="102"/>
      <c r="D51" s="102"/>
      <c r="E51" s="102"/>
      <c r="F51" s="102"/>
      <c r="G51" s="102"/>
      <c r="H51" s="103"/>
      <c r="I51" s="3">
        <f>SUM(H52)</f>
        <v>581.13</v>
      </c>
    </row>
    <row r="52" spans="1:9" x14ac:dyDescent="0.25">
      <c r="A52" s="24" t="s">
        <v>110</v>
      </c>
      <c r="B52" s="1">
        <v>9537</v>
      </c>
      <c r="C52" s="6" t="s">
        <v>43</v>
      </c>
      <c r="D52" s="24" t="s">
        <v>47</v>
      </c>
      <c r="E52" s="32">
        <f>TRUNC(1.5*N5,3)</f>
        <v>220.125</v>
      </c>
      <c r="F52" s="14">
        <v>2.0499999999999998</v>
      </c>
      <c r="G52" s="15">
        <f>TRUNC(F52*(1+$I$4),2)</f>
        <v>2.64</v>
      </c>
      <c r="H52" s="15">
        <f>TRUNC(G52*E52,2)</f>
        <v>581.13</v>
      </c>
      <c r="I52" s="6"/>
    </row>
    <row r="53" spans="1:9" ht="15.75" x14ac:dyDescent="0.25">
      <c r="A53" s="25"/>
      <c r="F53" s="105" t="s">
        <v>72</v>
      </c>
      <c r="G53" s="105"/>
      <c r="H53" s="105"/>
      <c r="I53" s="59">
        <f>I51+I47+I43+I41</f>
        <v>27035.89</v>
      </c>
    </row>
    <row r="54" spans="1:9" ht="15.75" thickBot="1" x14ac:dyDescent="0.3">
      <c r="F54" s="113"/>
      <c r="G54" s="113"/>
      <c r="H54" s="113"/>
      <c r="I54" s="21"/>
    </row>
    <row r="55" spans="1:9" ht="18" thickBot="1" x14ac:dyDescent="0.3">
      <c r="F55" s="114" t="s">
        <v>66</v>
      </c>
      <c r="G55" s="115"/>
      <c r="H55" s="115"/>
      <c r="I55" s="22">
        <f>I37+I53+I10</f>
        <v>149383.25</v>
      </c>
    </row>
  </sheetData>
  <mergeCells count="26">
    <mergeCell ref="I48:I50"/>
    <mergeCell ref="B51:H51"/>
    <mergeCell ref="F53:H53"/>
    <mergeCell ref="F54:H54"/>
    <mergeCell ref="F55:H55"/>
    <mergeCell ref="A40:I40"/>
    <mergeCell ref="B41:H41"/>
    <mergeCell ref="B43:H43"/>
    <mergeCell ref="I44:I46"/>
    <mergeCell ref="B47:H47"/>
    <mergeCell ref="F2:I2"/>
    <mergeCell ref="F5:G5"/>
    <mergeCell ref="H5:I5"/>
    <mergeCell ref="A2:B5"/>
    <mergeCell ref="F38:H38"/>
    <mergeCell ref="B20:H20"/>
    <mergeCell ref="A7:I7"/>
    <mergeCell ref="B16:H16"/>
    <mergeCell ref="B30:H30"/>
    <mergeCell ref="B35:H35"/>
    <mergeCell ref="F37:H37"/>
    <mergeCell ref="I21:I29"/>
    <mergeCell ref="I31:I34"/>
    <mergeCell ref="A15:I15"/>
    <mergeCell ref="B10:H10"/>
    <mergeCell ref="F13:H13"/>
  </mergeCells>
  <pageMargins left="1.1811023622047245" right="0.78740157480314965" top="0.78740157480314965" bottom="0.78740157480314965" header="0" footer="0"/>
  <pageSetup paperSize="9" scale="53" fitToWidth="0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85" zoomScaleNormal="85" workbookViewId="0">
      <selection activeCell="H19" sqref="H19"/>
    </sheetView>
  </sheetViews>
  <sheetFormatPr defaultRowHeight="15" x14ac:dyDescent="0.25"/>
  <cols>
    <col min="1" max="1" width="5.28515625" style="10" bestFit="1" customWidth="1"/>
    <col min="2" max="2" width="17.7109375" style="10" bestFit="1" customWidth="1"/>
    <col min="3" max="3" width="108.85546875" style="10" bestFit="1" customWidth="1"/>
    <col min="4" max="4" width="6.85546875" style="10" customWidth="1"/>
    <col min="5" max="5" width="10.85546875" style="10" customWidth="1"/>
    <col min="6" max="6" width="15.5703125" style="10" customWidth="1"/>
    <col min="7" max="7" width="14.28515625" style="11" customWidth="1"/>
    <col min="8" max="16384" width="9.140625" style="10"/>
  </cols>
  <sheetData>
    <row r="1" spans="1:7" x14ac:dyDescent="0.25">
      <c r="A1" s="98"/>
      <c r="B1" s="98"/>
    </row>
    <row r="2" spans="1:7" x14ac:dyDescent="0.25">
      <c r="A2" s="98"/>
      <c r="B2" s="98"/>
      <c r="C2" s="31" t="s">
        <v>0</v>
      </c>
      <c r="D2" s="7"/>
      <c r="E2" s="7"/>
      <c r="F2" s="116"/>
      <c r="G2" s="116"/>
    </row>
    <row r="3" spans="1:7" x14ac:dyDescent="0.25">
      <c r="A3" s="98"/>
      <c r="B3" s="98"/>
      <c r="C3" s="31" t="s">
        <v>82</v>
      </c>
      <c r="D3" s="7"/>
      <c r="E3" s="7"/>
      <c r="F3" s="116"/>
      <c r="G3" s="121"/>
    </row>
    <row r="4" spans="1:7" x14ac:dyDescent="0.25">
      <c r="A4" s="98"/>
      <c r="B4" s="98"/>
      <c r="C4" s="31" t="s">
        <v>71</v>
      </c>
      <c r="D4" s="7"/>
      <c r="E4" s="7"/>
      <c r="F4" s="116"/>
      <c r="G4" s="121"/>
    </row>
    <row r="5" spans="1:7" x14ac:dyDescent="0.25">
      <c r="E5" s="27"/>
      <c r="F5" s="120"/>
      <c r="G5" s="120"/>
    </row>
    <row r="6" spans="1:7" ht="3" customHeight="1" x14ac:dyDescent="0.25"/>
    <row r="7" spans="1:7" ht="19.5" x14ac:dyDescent="0.25">
      <c r="A7" s="109" t="s">
        <v>83</v>
      </c>
      <c r="B7" s="110"/>
      <c r="C7" s="110"/>
      <c r="D7" s="110"/>
      <c r="E7" s="110"/>
      <c r="F7" s="110"/>
      <c r="G7" s="110"/>
    </row>
    <row r="8" spans="1:7" ht="3" customHeight="1" x14ac:dyDescent="0.25"/>
    <row r="9" spans="1:7" x14ac:dyDescent="0.25">
      <c r="A9" s="4" t="s">
        <v>8</v>
      </c>
      <c r="B9" s="4" t="s">
        <v>9</v>
      </c>
      <c r="C9" s="4" t="s">
        <v>10</v>
      </c>
      <c r="D9" s="4" t="s">
        <v>11</v>
      </c>
      <c r="E9" s="4" t="s">
        <v>44</v>
      </c>
      <c r="F9" s="5" t="s">
        <v>45</v>
      </c>
      <c r="G9" s="29" t="s">
        <v>46</v>
      </c>
    </row>
    <row r="10" spans="1:7" x14ac:dyDescent="0.25">
      <c r="A10" s="117"/>
      <c r="B10" s="118"/>
      <c r="C10" s="118"/>
      <c r="D10" s="118"/>
      <c r="E10" s="118"/>
      <c r="F10" s="118"/>
      <c r="G10" s="119"/>
    </row>
    <row r="11" spans="1:7" x14ac:dyDescent="0.25">
      <c r="A11" s="30" t="s">
        <v>78</v>
      </c>
      <c r="B11" s="33" t="s">
        <v>75</v>
      </c>
      <c r="C11" s="30" t="s">
        <v>58</v>
      </c>
      <c r="D11" s="33" t="s">
        <v>47</v>
      </c>
      <c r="E11" s="30"/>
      <c r="F11" s="34"/>
      <c r="G11" s="35">
        <f>SUM(G12:G15)</f>
        <v>18.580000000000002</v>
      </c>
    </row>
    <row r="12" spans="1:7" x14ac:dyDescent="0.25">
      <c r="A12" s="13" t="s">
        <v>17</v>
      </c>
      <c r="B12" s="36">
        <v>88245</v>
      </c>
      <c r="C12" s="13" t="s">
        <v>55</v>
      </c>
      <c r="D12" s="37" t="s">
        <v>49</v>
      </c>
      <c r="E12" s="41">
        <v>0.02</v>
      </c>
      <c r="F12" s="38">
        <v>15.98</v>
      </c>
      <c r="G12" s="39">
        <f t="shared" ref="G12:G15" si="0">TRUNC(F12*E12,2)</f>
        <v>0.31</v>
      </c>
    </row>
    <row r="13" spans="1:7" x14ac:dyDescent="0.25">
      <c r="A13" s="13" t="s">
        <v>79</v>
      </c>
      <c r="B13" s="36">
        <v>88316</v>
      </c>
      <c r="C13" s="13" t="s">
        <v>50</v>
      </c>
      <c r="D13" s="37" t="s">
        <v>49</v>
      </c>
      <c r="E13" s="41">
        <v>0.04</v>
      </c>
      <c r="F13" s="38">
        <v>13.05</v>
      </c>
      <c r="G13" s="39">
        <f t="shared" si="0"/>
        <v>0.52</v>
      </c>
    </row>
    <row r="14" spans="1:7" x14ac:dyDescent="0.25">
      <c r="A14" s="13" t="s">
        <v>80</v>
      </c>
      <c r="B14" s="36">
        <v>337</v>
      </c>
      <c r="C14" s="13" t="s">
        <v>56</v>
      </c>
      <c r="D14" s="37" t="s">
        <v>22</v>
      </c>
      <c r="E14" s="41">
        <v>0.01</v>
      </c>
      <c r="F14" s="38">
        <v>8.41</v>
      </c>
      <c r="G14" s="39">
        <f t="shared" si="0"/>
        <v>0.08</v>
      </c>
    </row>
    <row r="15" spans="1:7" ht="30" x14ac:dyDescent="0.25">
      <c r="A15" s="13" t="s">
        <v>81</v>
      </c>
      <c r="B15" s="37">
        <v>7156</v>
      </c>
      <c r="C15" s="13" t="s">
        <v>57</v>
      </c>
      <c r="D15" s="37" t="s">
        <v>47</v>
      </c>
      <c r="E15" s="41">
        <v>1</v>
      </c>
      <c r="F15" s="38">
        <v>17.670000000000002</v>
      </c>
      <c r="G15" s="39">
        <f t="shared" si="0"/>
        <v>17.670000000000002</v>
      </c>
    </row>
    <row r="16" spans="1:7" x14ac:dyDescent="0.25">
      <c r="A16" s="47"/>
      <c r="B16" s="48"/>
      <c r="C16" s="47"/>
      <c r="D16" s="48"/>
      <c r="E16" s="49"/>
      <c r="F16" s="50"/>
      <c r="G16" s="51"/>
    </row>
    <row r="17" spans="1:8" x14ac:dyDescent="0.25">
      <c r="A17" s="46">
        <v>2</v>
      </c>
      <c r="B17" s="33" t="s">
        <v>76</v>
      </c>
      <c r="C17" s="30" t="s">
        <v>111</v>
      </c>
      <c r="D17" s="33" t="s">
        <v>47</v>
      </c>
      <c r="E17" s="42"/>
      <c r="F17" s="34"/>
      <c r="G17" s="35">
        <f>SUM(G18:G24)</f>
        <v>302.95000000000005</v>
      </c>
      <c r="H17" s="27"/>
    </row>
    <row r="18" spans="1:8" x14ac:dyDescent="0.25">
      <c r="A18" s="13" t="s">
        <v>27</v>
      </c>
      <c r="B18" s="36">
        <v>88262</v>
      </c>
      <c r="C18" s="13" t="s">
        <v>48</v>
      </c>
      <c r="D18" s="37" t="s">
        <v>49</v>
      </c>
      <c r="E18" s="41">
        <v>1</v>
      </c>
      <c r="F18" s="38">
        <v>15.98</v>
      </c>
      <c r="G18" s="39">
        <f t="shared" ref="G18:G24" si="1">TRUNC(F18*E18,2)</f>
        <v>15.98</v>
      </c>
      <c r="H18" s="27"/>
    </row>
    <row r="19" spans="1:8" x14ac:dyDescent="0.25">
      <c r="A19" s="40" t="s">
        <v>77</v>
      </c>
      <c r="B19" s="36">
        <v>88316</v>
      </c>
      <c r="C19" s="13" t="s">
        <v>50</v>
      </c>
      <c r="D19" s="37" t="s">
        <v>49</v>
      </c>
      <c r="E19" s="41">
        <v>2</v>
      </c>
      <c r="F19" s="38">
        <v>13.05</v>
      </c>
      <c r="G19" s="39">
        <f t="shared" si="1"/>
        <v>26.1</v>
      </c>
      <c r="H19" s="27"/>
    </row>
    <row r="20" spans="1:8" ht="15" customHeight="1" x14ac:dyDescent="0.25">
      <c r="A20" s="40" t="s">
        <v>28</v>
      </c>
      <c r="B20" s="36">
        <v>94965</v>
      </c>
      <c r="C20" s="13" t="s">
        <v>61</v>
      </c>
      <c r="D20" s="37" t="s">
        <v>51</v>
      </c>
      <c r="E20" s="41">
        <v>6.7000000000000004E-2</v>
      </c>
      <c r="F20" s="38">
        <v>284.51</v>
      </c>
      <c r="G20" s="39">
        <f t="shared" si="1"/>
        <v>19.059999999999999</v>
      </c>
    </row>
    <row r="21" spans="1:8" x14ac:dyDescent="0.25">
      <c r="A21" s="40" t="s">
        <v>29</v>
      </c>
      <c r="B21" s="36">
        <v>4417</v>
      </c>
      <c r="C21" s="13" t="s">
        <v>52</v>
      </c>
      <c r="D21" s="37" t="s">
        <v>24</v>
      </c>
      <c r="E21" s="41">
        <v>1</v>
      </c>
      <c r="F21" s="38">
        <v>3.26</v>
      </c>
      <c r="G21" s="39">
        <f t="shared" si="1"/>
        <v>3.26</v>
      </c>
    </row>
    <row r="22" spans="1:8" x14ac:dyDescent="0.25">
      <c r="A22" s="40" t="s">
        <v>30</v>
      </c>
      <c r="B22" s="36">
        <v>4491</v>
      </c>
      <c r="C22" s="13" t="s">
        <v>53</v>
      </c>
      <c r="D22" s="37" t="s">
        <v>24</v>
      </c>
      <c r="E22" s="41">
        <v>3.5</v>
      </c>
      <c r="F22" s="38">
        <v>4.5199999999999996</v>
      </c>
      <c r="G22" s="39">
        <f t="shared" si="1"/>
        <v>15.82</v>
      </c>
    </row>
    <row r="23" spans="1:8" x14ac:dyDescent="0.25">
      <c r="A23" s="40" t="s">
        <v>31</v>
      </c>
      <c r="B23" s="37">
        <v>34721</v>
      </c>
      <c r="C23" s="13" t="s">
        <v>74</v>
      </c>
      <c r="D23" s="37" t="s">
        <v>47</v>
      </c>
      <c r="E23" s="41">
        <v>0.48</v>
      </c>
      <c r="F23" s="38">
        <v>462</v>
      </c>
      <c r="G23" s="39">
        <f t="shared" si="1"/>
        <v>221.76</v>
      </c>
    </row>
    <row r="24" spans="1:8" x14ac:dyDescent="0.25">
      <c r="A24" s="40" t="s">
        <v>32</v>
      </c>
      <c r="B24" s="36">
        <v>5075</v>
      </c>
      <c r="C24" s="13" t="s">
        <v>54</v>
      </c>
      <c r="D24" s="37" t="s">
        <v>22</v>
      </c>
      <c r="E24" s="41">
        <v>0.11</v>
      </c>
      <c r="F24" s="38">
        <v>8.85</v>
      </c>
      <c r="G24" s="39">
        <f t="shared" si="1"/>
        <v>0.97</v>
      </c>
    </row>
    <row r="25" spans="1:8" ht="15" customHeight="1" x14ac:dyDescent="0.25">
      <c r="A25" s="7"/>
      <c r="B25" s="7"/>
      <c r="G25" s="10"/>
    </row>
    <row r="26" spans="1:8" x14ac:dyDescent="0.25">
      <c r="A26" s="46">
        <v>2</v>
      </c>
      <c r="B26" s="33" t="s">
        <v>112</v>
      </c>
      <c r="C26" s="30" t="s">
        <v>120</v>
      </c>
      <c r="D26" s="33" t="s">
        <v>24</v>
      </c>
      <c r="E26" s="42"/>
      <c r="F26" s="34"/>
      <c r="G26" s="35">
        <f>SUM(G27:G31)</f>
        <v>17.12</v>
      </c>
      <c r="H26" s="27"/>
    </row>
    <row r="27" spans="1:8" x14ac:dyDescent="0.25">
      <c r="A27" s="13" t="s">
        <v>27</v>
      </c>
      <c r="B27" s="36" t="s">
        <v>20</v>
      </c>
      <c r="C27" s="13" t="s">
        <v>114</v>
      </c>
      <c r="D27" s="37" t="s">
        <v>47</v>
      </c>
      <c r="E27" s="41">
        <v>0.185</v>
      </c>
      <c r="F27" s="38">
        <v>22.26</v>
      </c>
      <c r="G27" s="39">
        <f t="shared" ref="G27:G29" si="2">TRUNC(F27*E27,2)</f>
        <v>4.1100000000000003</v>
      </c>
      <c r="H27" s="27"/>
    </row>
    <row r="28" spans="1:8" ht="15" customHeight="1" x14ac:dyDescent="0.25">
      <c r="A28" s="40" t="s">
        <v>77</v>
      </c>
      <c r="B28" s="36">
        <v>94965</v>
      </c>
      <c r="C28" s="13" t="s">
        <v>117</v>
      </c>
      <c r="D28" s="37" t="s">
        <v>51</v>
      </c>
      <c r="E28" s="41">
        <v>0.02</v>
      </c>
      <c r="F28" s="38">
        <v>284.51</v>
      </c>
      <c r="G28" s="39">
        <f t="shared" si="2"/>
        <v>5.69</v>
      </c>
      <c r="H28" s="27"/>
    </row>
    <row r="29" spans="1:8" x14ac:dyDescent="0.25">
      <c r="A29" s="40" t="s">
        <v>28</v>
      </c>
      <c r="B29" s="36" t="s">
        <v>116</v>
      </c>
      <c r="C29" s="13" t="s">
        <v>115</v>
      </c>
      <c r="D29" s="37" t="s">
        <v>51</v>
      </c>
      <c r="E29" s="41">
        <v>0.02</v>
      </c>
      <c r="F29" s="38">
        <v>85.59</v>
      </c>
      <c r="G29" s="39">
        <f t="shared" si="2"/>
        <v>1.71</v>
      </c>
    </row>
    <row r="30" spans="1:8" x14ac:dyDescent="0.25">
      <c r="A30" s="40" t="s">
        <v>28</v>
      </c>
      <c r="B30" s="36">
        <v>88309</v>
      </c>
      <c r="C30" s="13" t="s">
        <v>118</v>
      </c>
      <c r="D30" s="37" t="s">
        <v>49</v>
      </c>
      <c r="E30" s="41">
        <v>0.25</v>
      </c>
      <c r="F30" s="38">
        <v>16.07</v>
      </c>
      <c r="G30" s="39">
        <f t="shared" ref="G30:G31" si="3">TRUNC(F30*E30,2)</f>
        <v>4.01</v>
      </c>
    </row>
    <row r="31" spans="1:8" x14ac:dyDescent="0.25">
      <c r="A31" s="40" t="s">
        <v>28</v>
      </c>
      <c r="B31" s="36">
        <v>88242</v>
      </c>
      <c r="C31" s="13" t="s">
        <v>119</v>
      </c>
      <c r="D31" s="37" t="s">
        <v>49</v>
      </c>
      <c r="E31" s="41">
        <v>0.125</v>
      </c>
      <c r="F31" s="38">
        <v>12.8</v>
      </c>
      <c r="G31" s="39">
        <f t="shared" si="3"/>
        <v>1.6</v>
      </c>
    </row>
  </sheetData>
  <mergeCells count="7">
    <mergeCell ref="F2:G2"/>
    <mergeCell ref="A10:G10"/>
    <mergeCell ref="F5:G5"/>
    <mergeCell ref="A7:G7"/>
    <mergeCell ref="G3:G4"/>
    <mergeCell ref="F3:F4"/>
    <mergeCell ref="A1:B4"/>
  </mergeCells>
  <pageMargins left="1.1811023622047245" right="0.78740157480314965" top="0.78740157480314965" bottom="0.78740157480314965" header="0" footer="0"/>
  <pageSetup paperSize="9" scale="6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Normal="100" workbookViewId="0">
      <selection activeCell="L38" sqref="L38"/>
    </sheetView>
  </sheetViews>
  <sheetFormatPr defaultColWidth="10.5703125" defaultRowHeight="15" x14ac:dyDescent="0.25"/>
  <cols>
    <col min="1" max="1" width="5" bestFit="1" customWidth="1"/>
    <col min="2" max="2" width="26.42578125" bestFit="1" customWidth="1"/>
    <col min="3" max="3" width="10.28515625" bestFit="1" customWidth="1"/>
    <col min="4" max="4" width="6.7109375" bestFit="1" customWidth="1"/>
    <col min="5" max="20" width="4.7109375" customWidth="1"/>
    <col min="21" max="21" width="9.140625" bestFit="1" customWidth="1"/>
  </cols>
  <sheetData>
    <row r="1" spans="1:22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4"/>
      <c r="V1" s="62"/>
    </row>
    <row r="2" spans="1:22" x14ac:dyDescent="0.25">
      <c r="A2" s="80"/>
      <c r="B2" s="90"/>
      <c r="C2" s="89" t="s">
        <v>125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78"/>
      <c r="V2" s="62"/>
    </row>
    <row r="3" spans="1:22" x14ac:dyDescent="0.25">
      <c r="A3" s="80"/>
      <c r="B3" s="90"/>
      <c r="C3" s="89" t="s">
        <v>145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78"/>
      <c r="V3" s="62"/>
    </row>
    <row r="4" spans="1:22" ht="15.75" thickBot="1" x14ac:dyDescent="0.3">
      <c r="A4" s="91"/>
      <c r="B4" s="92"/>
      <c r="C4" s="93" t="s">
        <v>146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4"/>
      <c r="V4" s="62"/>
    </row>
    <row r="5" spans="1:22" ht="16.5" thickBot="1" x14ac:dyDescent="0.3">
      <c r="A5" s="155" t="s">
        <v>126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/>
      <c r="V5" s="62"/>
    </row>
    <row r="6" spans="1:22" ht="15.75" thickBot="1" x14ac:dyDescent="0.3">
      <c r="A6" s="77" t="s">
        <v>127</v>
      </c>
      <c r="B6" s="85" t="s">
        <v>128</v>
      </c>
      <c r="C6" s="85" t="s">
        <v>129</v>
      </c>
      <c r="D6" s="79" t="s">
        <v>130</v>
      </c>
      <c r="E6" s="135" t="s">
        <v>131</v>
      </c>
      <c r="F6" s="136"/>
      <c r="G6" s="136"/>
      <c r="H6" s="137"/>
      <c r="I6" s="135" t="s">
        <v>132</v>
      </c>
      <c r="J6" s="136"/>
      <c r="K6" s="136"/>
      <c r="L6" s="137"/>
      <c r="M6" s="135" t="s">
        <v>133</v>
      </c>
      <c r="N6" s="136"/>
      <c r="O6" s="136"/>
      <c r="P6" s="137"/>
      <c r="Q6" s="135" t="s">
        <v>141</v>
      </c>
      <c r="R6" s="136"/>
      <c r="S6" s="136"/>
      <c r="T6" s="137"/>
      <c r="U6" s="85" t="s">
        <v>134</v>
      </c>
      <c r="V6" s="61"/>
    </row>
    <row r="7" spans="1:22" x14ac:dyDescent="0.25">
      <c r="A7" s="124" t="s">
        <v>78</v>
      </c>
      <c r="B7" s="126" t="s">
        <v>85</v>
      </c>
      <c r="C7" s="128">
        <v>1452.06</v>
      </c>
      <c r="D7" s="130">
        <f>ROUND((C7/$C$25)*100,2)</f>
        <v>0.97</v>
      </c>
      <c r="E7" s="71"/>
      <c r="F7" s="68"/>
      <c r="G7" s="68"/>
      <c r="H7" s="70"/>
      <c r="I7" s="73"/>
      <c r="J7" s="68"/>
      <c r="K7" s="68"/>
      <c r="L7" s="74"/>
      <c r="M7" s="73"/>
      <c r="N7" s="68"/>
      <c r="O7" s="68"/>
      <c r="P7" s="74"/>
      <c r="Q7" s="73"/>
      <c r="R7" s="68"/>
      <c r="S7" s="68"/>
      <c r="T7" s="74"/>
      <c r="U7" s="128">
        <v>1452.06</v>
      </c>
      <c r="V7" s="66"/>
    </row>
    <row r="8" spans="1:22" ht="15.75" thickBot="1" x14ac:dyDescent="0.3">
      <c r="A8" s="125"/>
      <c r="B8" s="127"/>
      <c r="C8" s="129"/>
      <c r="D8" s="131"/>
      <c r="E8" s="132">
        <v>1</v>
      </c>
      <c r="F8" s="133"/>
      <c r="G8" s="133"/>
      <c r="H8" s="133"/>
      <c r="I8" s="80"/>
      <c r="J8" s="81"/>
      <c r="K8" s="81"/>
      <c r="L8" s="82"/>
      <c r="M8" s="132"/>
      <c r="N8" s="133"/>
      <c r="O8" s="133"/>
      <c r="P8" s="134"/>
      <c r="Q8" s="132"/>
      <c r="R8" s="133"/>
      <c r="S8" s="133"/>
      <c r="T8" s="134"/>
      <c r="U8" s="129"/>
      <c r="V8" s="66"/>
    </row>
    <row r="9" spans="1:22" x14ac:dyDescent="0.25">
      <c r="A9" s="124" t="s">
        <v>101</v>
      </c>
      <c r="B9" s="126" t="s">
        <v>26</v>
      </c>
      <c r="C9" s="128">
        <v>9844.8799999999992</v>
      </c>
      <c r="D9" s="130">
        <f t="shared" ref="D9" si="0">ROUND((C9/$C$25)*100,2)</f>
        <v>6.59</v>
      </c>
      <c r="E9" s="71"/>
      <c r="F9" s="67"/>
      <c r="G9" s="67"/>
      <c r="H9" s="69"/>
      <c r="I9" s="71"/>
      <c r="J9" s="67"/>
      <c r="K9" s="67"/>
      <c r="L9" s="72"/>
      <c r="M9" s="71"/>
      <c r="N9" s="67"/>
      <c r="O9" s="67"/>
      <c r="P9" s="72"/>
      <c r="Q9" s="73"/>
      <c r="R9" s="68"/>
      <c r="S9" s="68"/>
      <c r="T9" s="74"/>
      <c r="U9" s="128">
        <v>9844.8799999999992</v>
      </c>
      <c r="V9" s="66"/>
    </row>
    <row r="10" spans="1:22" ht="15.75" thickBot="1" x14ac:dyDescent="0.3">
      <c r="A10" s="125"/>
      <c r="B10" s="127"/>
      <c r="C10" s="129"/>
      <c r="D10" s="131"/>
      <c r="E10" s="132">
        <v>0.33</v>
      </c>
      <c r="F10" s="133"/>
      <c r="G10" s="133"/>
      <c r="H10" s="133"/>
      <c r="I10" s="132">
        <v>0.33</v>
      </c>
      <c r="J10" s="133"/>
      <c r="K10" s="133"/>
      <c r="L10" s="134"/>
      <c r="M10" s="132">
        <v>0.34</v>
      </c>
      <c r="N10" s="133"/>
      <c r="O10" s="133"/>
      <c r="P10" s="134"/>
      <c r="Q10" s="132"/>
      <c r="R10" s="133"/>
      <c r="S10" s="133"/>
      <c r="T10" s="134"/>
      <c r="U10" s="129"/>
      <c r="V10" s="66"/>
    </row>
    <row r="11" spans="1:22" x14ac:dyDescent="0.25">
      <c r="A11" s="124" t="s">
        <v>100</v>
      </c>
      <c r="B11" s="126" t="s">
        <v>18</v>
      </c>
      <c r="C11" s="128">
        <v>85241.79</v>
      </c>
      <c r="D11" s="130">
        <f t="shared" ref="D11" si="1">ROUND((C11/$C$25)*100,2)</f>
        <v>57.06</v>
      </c>
      <c r="E11" s="71"/>
      <c r="F11" s="67"/>
      <c r="G11" s="67"/>
      <c r="H11" s="69"/>
      <c r="I11" s="71"/>
      <c r="J11" s="67"/>
      <c r="K11" s="67"/>
      <c r="L11" s="72"/>
      <c r="M11" s="71"/>
      <c r="N11" s="67"/>
      <c r="O11" s="67"/>
      <c r="P11" s="72"/>
      <c r="Q11" s="73"/>
      <c r="R11" s="68"/>
      <c r="S11" s="68"/>
      <c r="T11" s="74"/>
      <c r="U11" s="128">
        <v>85241.79</v>
      </c>
      <c r="V11" s="66"/>
    </row>
    <row r="12" spans="1:22" ht="15.75" thickBot="1" x14ac:dyDescent="0.3">
      <c r="A12" s="125"/>
      <c r="B12" s="127"/>
      <c r="C12" s="129"/>
      <c r="D12" s="131"/>
      <c r="E12" s="132">
        <v>0.33</v>
      </c>
      <c r="F12" s="133"/>
      <c r="G12" s="133"/>
      <c r="H12" s="133"/>
      <c r="I12" s="132">
        <v>0.33</v>
      </c>
      <c r="J12" s="133"/>
      <c r="K12" s="133"/>
      <c r="L12" s="134"/>
      <c r="M12" s="132">
        <v>0.34</v>
      </c>
      <c r="N12" s="133"/>
      <c r="O12" s="133"/>
      <c r="P12" s="134"/>
      <c r="Q12" s="132"/>
      <c r="R12" s="133"/>
      <c r="S12" s="133"/>
      <c r="T12" s="134"/>
      <c r="U12" s="129"/>
      <c r="V12" s="66"/>
    </row>
    <row r="13" spans="1:22" x14ac:dyDescent="0.25">
      <c r="A13" s="124" t="s">
        <v>99</v>
      </c>
      <c r="B13" s="126" t="s">
        <v>138</v>
      </c>
      <c r="C13" s="128">
        <v>23960.11</v>
      </c>
      <c r="D13" s="130">
        <f t="shared" ref="D13" si="2">ROUND((C13/$C$25)*100,2)</f>
        <v>16.04</v>
      </c>
      <c r="E13" s="71"/>
      <c r="F13" s="67"/>
      <c r="G13" s="67"/>
      <c r="H13" s="69"/>
      <c r="I13" s="71"/>
      <c r="J13" s="67"/>
      <c r="K13" s="67"/>
      <c r="L13" s="72"/>
      <c r="M13" s="71"/>
      <c r="N13" s="67"/>
      <c r="O13" s="67"/>
      <c r="P13" s="72"/>
      <c r="Q13" s="73"/>
      <c r="R13" s="68"/>
      <c r="S13" s="68"/>
      <c r="T13" s="74"/>
      <c r="U13" s="128">
        <v>23960.11</v>
      </c>
      <c r="V13" s="66"/>
    </row>
    <row r="14" spans="1:22" ht="15.75" thickBot="1" x14ac:dyDescent="0.3">
      <c r="A14" s="125"/>
      <c r="B14" s="127"/>
      <c r="C14" s="129"/>
      <c r="D14" s="131"/>
      <c r="E14" s="132">
        <v>0.33</v>
      </c>
      <c r="F14" s="133"/>
      <c r="G14" s="133"/>
      <c r="H14" s="133"/>
      <c r="I14" s="132">
        <v>0.33</v>
      </c>
      <c r="J14" s="133"/>
      <c r="K14" s="133"/>
      <c r="L14" s="134"/>
      <c r="M14" s="132">
        <v>0.34</v>
      </c>
      <c r="N14" s="133"/>
      <c r="O14" s="133"/>
      <c r="P14" s="134"/>
      <c r="Q14" s="132"/>
      <c r="R14" s="133"/>
      <c r="S14" s="133"/>
      <c r="T14" s="134"/>
      <c r="U14" s="129"/>
      <c r="V14" s="66"/>
    </row>
    <row r="15" spans="1:22" x14ac:dyDescent="0.25">
      <c r="A15" s="124" t="s">
        <v>98</v>
      </c>
      <c r="B15" s="126" t="s">
        <v>137</v>
      </c>
      <c r="C15" s="128">
        <v>1848.52</v>
      </c>
      <c r="D15" s="130">
        <f t="shared" ref="D15" si="3">ROUND((C15/$C$25)*100,2)</f>
        <v>1.24</v>
      </c>
      <c r="E15" s="71"/>
      <c r="F15" s="67"/>
      <c r="G15" s="67"/>
      <c r="H15" s="69"/>
      <c r="I15" s="71"/>
      <c r="J15" s="67"/>
      <c r="K15" s="67"/>
      <c r="L15" s="72"/>
      <c r="M15" s="71"/>
      <c r="N15" s="67"/>
      <c r="O15" s="67"/>
      <c r="P15" s="72"/>
      <c r="Q15" s="73"/>
      <c r="R15" s="68"/>
      <c r="S15" s="68"/>
      <c r="T15" s="74"/>
      <c r="U15" s="128">
        <v>1848.52</v>
      </c>
      <c r="V15" s="66"/>
    </row>
    <row r="16" spans="1:22" ht="15.75" thickBot="1" x14ac:dyDescent="0.3">
      <c r="A16" s="125"/>
      <c r="B16" s="127"/>
      <c r="C16" s="129"/>
      <c r="D16" s="131"/>
      <c r="E16" s="132">
        <v>0.33</v>
      </c>
      <c r="F16" s="133"/>
      <c r="G16" s="133"/>
      <c r="H16" s="133"/>
      <c r="I16" s="132">
        <v>0.33</v>
      </c>
      <c r="J16" s="133"/>
      <c r="K16" s="133"/>
      <c r="L16" s="134"/>
      <c r="M16" s="132">
        <v>0.34</v>
      </c>
      <c r="N16" s="133"/>
      <c r="O16" s="133"/>
      <c r="P16" s="134"/>
      <c r="Q16" s="132"/>
      <c r="R16" s="133"/>
      <c r="S16" s="133"/>
      <c r="T16" s="134"/>
      <c r="U16" s="129"/>
      <c r="V16" s="66"/>
    </row>
    <row r="17" spans="1:22" x14ac:dyDescent="0.25">
      <c r="A17" s="124" t="s">
        <v>97</v>
      </c>
      <c r="B17" s="126" t="s">
        <v>26</v>
      </c>
      <c r="C17" s="128">
        <v>2652.44</v>
      </c>
      <c r="D17" s="130">
        <f t="shared" ref="D17" si="4">ROUND((C17/$C$25)*100,2)</f>
        <v>1.78</v>
      </c>
      <c r="E17" s="73"/>
      <c r="F17" s="68"/>
      <c r="G17" s="68"/>
      <c r="H17" s="70"/>
      <c r="I17" s="73"/>
      <c r="J17" s="68"/>
      <c r="K17" s="68"/>
      <c r="L17" s="74"/>
      <c r="M17" s="73"/>
      <c r="N17" s="68"/>
      <c r="O17" s="68"/>
      <c r="P17" s="74"/>
      <c r="Q17" s="71"/>
      <c r="R17" s="67"/>
      <c r="S17" s="67"/>
      <c r="T17" s="72"/>
      <c r="U17" s="128">
        <v>2652.44</v>
      </c>
      <c r="V17" s="66"/>
    </row>
    <row r="18" spans="1:22" ht="15.75" thickBot="1" x14ac:dyDescent="0.3">
      <c r="A18" s="125"/>
      <c r="B18" s="127"/>
      <c r="C18" s="129"/>
      <c r="D18" s="131"/>
      <c r="E18" s="132"/>
      <c r="F18" s="133"/>
      <c r="G18" s="133"/>
      <c r="H18" s="133"/>
      <c r="I18" s="132"/>
      <c r="J18" s="133"/>
      <c r="K18" s="133"/>
      <c r="L18" s="134"/>
      <c r="M18" s="132"/>
      <c r="N18" s="133"/>
      <c r="O18" s="133"/>
      <c r="P18" s="134"/>
      <c r="Q18" s="132">
        <v>1</v>
      </c>
      <c r="R18" s="133"/>
      <c r="S18" s="133"/>
      <c r="T18" s="134"/>
      <c r="U18" s="129"/>
      <c r="V18" s="66"/>
    </row>
    <row r="19" spans="1:22" x14ac:dyDescent="0.25">
      <c r="A19" s="124" t="s">
        <v>96</v>
      </c>
      <c r="B19" s="126" t="s">
        <v>67</v>
      </c>
      <c r="C19" s="128">
        <v>7641.14</v>
      </c>
      <c r="D19" s="130">
        <f t="shared" ref="D19" si="5">ROUND((C19/$C$25)*100,2)</f>
        <v>5.12</v>
      </c>
      <c r="E19" s="73"/>
      <c r="F19" s="68"/>
      <c r="G19" s="68"/>
      <c r="H19" s="70"/>
      <c r="I19" s="73"/>
      <c r="J19" s="68"/>
      <c r="K19" s="68"/>
      <c r="L19" s="74"/>
      <c r="M19" s="73"/>
      <c r="N19" s="68"/>
      <c r="O19" s="68"/>
      <c r="P19" s="74"/>
      <c r="Q19" s="71"/>
      <c r="R19" s="67"/>
      <c r="S19" s="67"/>
      <c r="T19" s="72"/>
      <c r="U19" s="128">
        <v>7641.14</v>
      </c>
      <c r="V19" s="66"/>
    </row>
    <row r="20" spans="1:22" ht="15.75" thickBot="1" x14ac:dyDescent="0.3">
      <c r="A20" s="125"/>
      <c r="B20" s="127"/>
      <c r="C20" s="129"/>
      <c r="D20" s="131"/>
      <c r="E20" s="132"/>
      <c r="F20" s="133"/>
      <c r="G20" s="133"/>
      <c r="H20" s="133"/>
      <c r="I20" s="132"/>
      <c r="J20" s="133"/>
      <c r="K20" s="133"/>
      <c r="L20" s="134"/>
      <c r="M20" s="132"/>
      <c r="N20" s="133"/>
      <c r="O20" s="133"/>
      <c r="P20" s="134"/>
      <c r="Q20" s="132">
        <v>1</v>
      </c>
      <c r="R20" s="133"/>
      <c r="S20" s="133"/>
      <c r="T20" s="134"/>
      <c r="U20" s="129"/>
      <c r="V20" s="66"/>
    </row>
    <row r="21" spans="1:22" x14ac:dyDescent="0.25">
      <c r="A21" s="124" t="s">
        <v>105</v>
      </c>
      <c r="B21" s="126" t="s">
        <v>140</v>
      </c>
      <c r="C21" s="128">
        <v>16161.18</v>
      </c>
      <c r="D21" s="130">
        <f t="shared" ref="D21" si="6">ROUND((C21/$C$25)*100,2)</f>
        <v>10.82</v>
      </c>
      <c r="E21" s="73"/>
      <c r="F21" s="68"/>
      <c r="G21" s="68"/>
      <c r="H21" s="70"/>
      <c r="I21" s="73"/>
      <c r="J21" s="68"/>
      <c r="K21" s="68"/>
      <c r="L21" s="74"/>
      <c r="M21" s="73"/>
      <c r="N21" s="68"/>
      <c r="O21" s="68"/>
      <c r="P21" s="74"/>
      <c r="Q21" s="71"/>
      <c r="R21" s="67"/>
      <c r="S21" s="67"/>
      <c r="T21" s="72"/>
      <c r="U21" s="128">
        <v>16161.18</v>
      </c>
      <c r="V21" s="66"/>
    </row>
    <row r="22" spans="1:22" ht="15.75" thickBot="1" x14ac:dyDescent="0.3">
      <c r="A22" s="125"/>
      <c r="B22" s="127"/>
      <c r="C22" s="129"/>
      <c r="D22" s="131"/>
      <c r="E22" s="132"/>
      <c r="F22" s="133"/>
      <c r="G22" s="133"/>
      <c r="H22" s="133"/>
      <c r="I22" s="132"/>
      <c r="J22" s="133"/>
      <c r="K22" s="133"/>
      <c r="L22" s="134"/>
      <c r="M22" s="132"/>
      <c r="N22" s="133"/>
      <c r="O22" s="133"/>
      <c r="P22" s="134"/>
      <c r="Q22" s="132">
        <v>1</v>
      </c>
      <c r="R22" s="133"/>
      <c r="S22" s="133"/>
      <c r="T22" s="134"/>
      <c r="U22" s="129"/>
      <c r="V22" s="66"/>
    </row>
    <row r="23" spans="1:22" x14ac:dyDescent="0.25">
      <c r="A23" s="124" t="s">
        <v>109</v>
      </c>
      <c r="B23" s="126" t="s">
        <v>139</v>
      </c>
      <c r="C23" s="128">
        <v>581.13</v>
      </c>
      <c r="D23" s="130">
        <v>0.38</v>
      </c>
      <c r="E23" s="73"/>
      <c r="F23" s="68"/>
      <c r="G23" s="68"/>
      <c r="H23" s="70"/>
      <c r="I23" s="73"/>
      <c r="J23" s="68"/>
      <c r="K23" s="68"/>
      <c r="L23" s="74"/>
      <c r="M23" s="73"/>
      <c r="N23" s="68"/>
      <c r="O23" s="68"/>
      <c r="P23" s="74"/>
      <c r="Q23" s="71"/>
      <c r="R23" s="67"/>
      <c r="S23" s="67"/>
      <c r="T23" s="72"/>
      <c r="U23" s="128">
        <v>581.13</v>
      </c>
      <c r="V23" s="66"/>
    </row>
    <row r="24" spans="1:22" ht="15.75" thickBot="1" x14ac:dyDescent="0.3">
      <c r="A24" s="125"/>
      <c r="B24" s="127"/>
      <c r="C24" s="129"/>
      <c r="D24" s="131"/>
      <c r="E24" s="132"/>
      <c r="F24" s="133"/>
      <c r="G24" s="133"/>
      <c r="H24" s="133"/>
      <c r="I24" s="132"/>
      <c r="J24" s="133"/>
      <c r="K24" s="133"/>
      <c r="L24" s="134"/>
      <c r="M24" s="132"/>
      <c r="N24" s="133"/>
      <c r="O24" s="133"/>
      <c r="P24" s="134"/>
      <c r="Q24" s="132">
        <v>1</v>
      </c>
      <c r="R24" s="133"/>
      <c r="S24" s="133"/>
      <c r="T24" s="134"/>
      <c r="U24" s="129"/>
      <c r="V24" s="66"/>
    </row>
    <row r="25" spans="1:22" ht="15.75" thickBot="1" x14ac:dyDescent="0.3">
      <c r="A25" s="75"/>
      <c r="B25" s="88" t="s">
        <v>135</v>
      </c>
      <c r="C25" s="84">
        <f>SUM(C7:C23)</f>
        <v>149383.25</v>
      </c>
      <c r="D25" s="83">
        <f>SUM(D7:D23)</f>
        <v>100</v>
      </c>
      <c r="E25" s="143">
        <f>C7+C9*0.33+C11*0.33+C13*0.33+C15*0.33</f>
        <v>41347.508999999998</v>
      </c>
      <c r="F25" s="144"/>
      <c r="G25" s="144"/>
      <c r="H25" s="145"/>
      <c r="I25" s="149">
        <f>C9*0.33+C11*0.33+C13*0.33+C15*0.33</f>
        <v>39895.448999999993</v>
      </c>
      <c r="J25" s="150"/>
      <c r="K25" s="150"/>
      <c r="L25" s="151"/>
      <c r="M25" s="146">
        <f>C9*0.34+C11*0.34+C13*0.34+C15*0.34</f>
        <v>41104.402000000002</v>
      </c>
      <c r="N25" s="147"/>
      <c r="O25" s="147"/>
      <c r="P25" s="148"/>
      <c r="Q25" s="143">
        <f>C17+C19+C21+C23</f>
        <v>27035.890000000003</v>
      </c>
      <c r="R25" s="144"/>
      <c r="S25" s="144"/>
      <c r="T25" s="145"/>
      <c r="U25" s="138">
        <f>SUM(E25:Q25)</f>
        <v>149383.25</v>
      </c>
      <c r="V25" s="61"/>
    </row>
    <row r="26" spans="1:22" ht="15.75" thickBot="1" x14ac:dyDescent="0.3">
      <c r="A26" s="76"/>
      <c r="B26" s="88" t="s">
        <v>136</v>
      </c>
      <c r="C26" s="87"/>
      <c r="D26" s="86"/>
      <c r="E26" s="143">
        <f>E25</f>
        <v>41347.508999999998</v>
      </c>
      <c r="F26" s="144"/>
      <c r="G26" s="144"/>
      <c r="H26" s="145"/>
      <c r="I26" s="140">
        <f>E26+I25</f>
        <v>81242.957999999984</v>
      </c>
      <c r="J26" s="141"/>
      <c r="K26" s="141"/>
      <c r="L26" s="142"/>
      <c r="M26" s="140">
        <f t="shared" ref="M26" si="7">I26+M25</f>
        <v>122347.35999999999</v>
      </c>
      <c r="N26" s="141"/>
      <c r="O26" s="141"/>
      <c r="P26" s="142"/>
      <c r="Q26" s="140">
        <f t="shared" ref="Q26" si="8">M26+Q25</f>
        <v>149383.25</v>
      </c>
      <c r="R26" s="141"/>
      <c r="S26" s="141"/>
      <c r="T26" s="142"/>
      <c r="U26" s="139"/>
      <c r="V26" s="61"/>
    </row>
    <row r="27" spans="1:22" x14ac:dyDescent="0.25">
      <c r="A27" s="61"/>
      <c r="B27" s="63"/>
      <c r="C27" s="63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3"/>
      <c r="V27" s="61"/>
    </row>
    <row r="28" spans="1:22" x14ac:dyDescent="0.25">
      <c r="A28" s="61"/>
      <c r="B28" s="63"/>
      <c r="C28" s="63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3"/>
      <c r="V28" s="61"/>
    </row>
    <row r="30" spans="1:22" x14ac:dyDescent="0.25">
      <c r="A30" s="61"/>
      <c r="B30" s="61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x14ac:dyDescent="0.25">
      <c r="A31" s="61"/>
      <c r="B31" s="61"/>
      <c r="C31" s="159" t="s">
        <v>142</v>
      </c>
      <c r="D31" s="159"/>
      <c r="E31" s="159"/>
      <c r="F31" s="159"/>
      <c r="G31" s="159"/>
      <c r="H31" s="159"/>
      <c r="I31" s="159"/>
      <c r="J31" s="159"/>
      <c r="K31" s="159"/>
      <c r="L31" s="159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x14ac:dyDescent="0.25">
      <c r="A32" s="61"/>
      <c r="B32" s="61"/>
      <c r="C32" s="122" t="s">
        <v>143</v>
      </c>
      <c r="D32" s="123"/>
      <c r="E32" s="123"/>
      <c r="F32" s="123"/>
      <c r="G32" s="123"/>
      <c r="H32" s="123"/>
      <c r="I32" s="123"/>
      <c r="J32" s="123"/>
      <c r="K32" s="123"/>
      <c r="L32" s="123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 x14ac:dyDescent="0.25">
      <c r="A33" s="61"/>
      <c r="B33" s="61"/>
      <c r="C33" s="122" t="s">
        <v>144</v>
      </c>
      <c r="D33" s="123"/>
      <c r="E33" s="123"/>
      <c r="F33" s="123"/>
      <c r="G33" s="123"/>
      <c r="H33" s="123"/>
      <c r="I33" s="123"/>
      <c r="J33" s="123"/>
      <c r="K33" s="123"/>
      <c r="L33" s="123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x14ac:dyDescent="0.25">
      <c r="A34" s="61"/>
      <c r="B34" s="61"/>
      <c r="C34" s="122" t="s">
        <v>0</v>
      </c>
      <c r="D34" s="123"/>
      <c r="E34" s="123"/>
      <c r="F34" s="123"/>
      <c r="G34" s="123"/>
      <c r="H34" s="123"/>
      <c r="I34" s="123"/>
      <c r="J34" s="123"/>
      <c r="K34" s="123"/>
      <c r="L34" s="123"/>
      <c r="M34" s="61"/>
      <c r="N34" s="61"/>
      <c r="O34" s="61"/>
      <c r="P34" s="61"/>
      <c r="Q34" s="61"/>
      <c r="R34" s="61"/>
      <c r="S34" s="61"/>
      <c r="T34" s="61"/>
      <c r="U34" s="61"/>
      <c r="V34" s="61"/>
    </row>
  </sheetData>
  <mergeCells count="100">
    <mergeCell ref="E6:H6"/>
    <mergeCell ref="E24:H24"/>
    <mergeCell ref="U21:U22"/>
    <mergeCell ref="D19:D20"/>
    <mergeCell ref="B17:B18"/>
    <mergeCell ref="C19:C20"/>
    <mergeCell ref="C17:C18"/>
    <mergeCell ref="U11:U12"/>
    <mergeCell ref="B13:B14"/>
    <mergeCell ref="C13:C14"/>
    <mergeCell ref="C34:L34"/>
    <mergeCell ref="A1:U1"/>
    <mergeCell ref="A5:U5"/>
    <mergeCell ref="C30:L30"/>
    <mergeCell ref="C31:L31"/>
    <mergeCell ref="C33:L33"/>
    <mergeCell ref="A17:A18"/>
    <mergeCell ref="A19:A20"/>
    <mergeCell ref="A21:A22"/>
    <mergeCell ref="A7:A8"/>
    <mergeCell ref="A9:A10"/>
    <mergeCell ref="A11:A12"/>
    <mergeCell ref="A13:A14"/>
    <mergeCell ref="E26:H26"/>
    <mergeCell ref="M24:P24"/>
    <mergeCell ref="E16:H16"/>
    <mergeCell ref="A15:A16"/>
    <mergeCell ref="M26:P26"/>
    <mergeCell ref="M6:P6"/>
    <mergeCell ref="M8:P8"/>
    <mergeCell ref="M10:P10"/>
    <mergeCell ref="M12:P12"/>
    <mergeCell ref="M14:P14"/>
    <mergeCell ref="B15:B16"/>
    <mergeCell ref="C15:C16"/>
    <mergeCell ref="D15:D16"/>
    <mergeCell ref="M16:P16"/>
    <mergeCell ref="I25:L25"/>
    <mergeCell ref="I6:L6"/>
    <mergeCell ref="M18:P18"/>
    <mergeCell ref="M20:P20"/>
    <mergeCell ref="M22:P22"/>
    <mergeCell ref="U7:U8"/>
    <mergeCell ref="B9:B10"/>
    <mergeCell ref="C9:C10"/>
    <mergeCell ref="D9:D10"/>
    <mergeCell ref="U9:U10"/>
    <mergeCell ref="B7:B8"/>
    <mergeCell ref="C7:C8"/>
    <mergeCell ref="D7:D8"/>
    <mergeCell ref="Q10:T10"/>
    <mergeCell ref="E8:H8"/>
    <mergeCell ref="Q8:T8"/>
    <mergeCell ref="I10:L10"/>
    <mergeCell ref="E10:H10"/>
    <mergeCell ref="U13:U14"/>
    <mergeCell ref="B11:B12"/>
    <mergeCell ref="C11:C12"/>
    <mergeCell ref="D11:D12"/>
    <mergeCell ref="I14:L14"/>
    <mergeCell ref="Q12:T12"/>
    <mergeCell ref="Q14:T14"/>
    <mergeCell ref="I12:L12"/>
    <mergeCell ref="D13:D14"/>
    <mergeCell ref="E14:H14"/>
    <mergeCell ref="E12:H12"/>
    <mergeCell ref="Q25:T25"/>
    <mergeCell ref="U17:U18"/>
    <mergeCell ref="D17:D18"/>
    <mergeCell ref="B21:B22"/>
    <mergeCell ref="C21:C22"/>
    <mergeCell ref="D21:D22"/>
    <mergeCell ref="M25:P25"/>
    <mergeCell ref="E18:H18"/>
    <mergeCell ref="E20:H20"/>
    <mergeCell ref="E22:H22"/>
    <mergeCell ref="B19:B20"/>
    <mergeCell ref="I24:L24"/>
    <mergeCell ref="E25:H25"/>
    <mergeCell ref="U23:U24"/>
    <mergeCell ref="Q24:T24"/>
    <mergeCell ref="Q6:T6"/>
    <mergeCell ref="U25:U26"/>
    <mergeCell ref="I26:L26"/>
    <mergeCell ref="Q26:T26"/>
    <mergeCell ref="I16:L16"/>
    <mergeCell ref="I18:L18"/>
    <mergeCell ref="I20:L20"/>
    <mergeCell ref="I22:L22"/>
    <mergeCell ref="Q16:T16"/>
    <mergeCell ref="Q18:T18"/>
    <mergeCell ref="Q20:T20"/>
    <mergeCell ref="Q22:T22"/>
    <mergeCell ref="U19:U20"/>
    <mergeCell ref="U15:U16"/>
    <mergeCell ref="C32:L32"/>
    <mergeCell ref="A23:A24"/>
    <mergeCell ref="B23:B24"/>
    <mergeCell ref="C23:C24"/>
    <mergeCell ref="D23:D24"/>
  </mergeCells>
  <pageMargins left="0.511811024" right="0.511811024" top="0.78740157499999996" bottom="0.78740157499999996" header="0.31496062000000002" footer="0.31496062000000002"/>
  <pageSetup paperSize="9" scale="95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k l K Z S p r S a O m o A A A A + A A A A B I A H A B D b 2 5 m a W c v U G F j a 2 F n Z S 5 4 b W w g o h g A K K A U A A A A A A A A A A A A A A A A A A A A A A A A A A A A h Y 9 N D o I w G A W v Q r q n L Q V / Q j 5 K o l t J j C b G b V M r N E I h t A h 3 c + G R v I I k i r p z + S a z m P e 4 3 S E d q t K 7 q t b q 2 i Q o w B R 5 y s j 6 p E 2 e o M 6 d / S V K O W y F v I h c e a N s b D z Y U 4 I K 5 5 q Y k L 7 v c R / i u s 0 J o z Q g x 2 y z l 4 W q B P r I + r / s a 2 O d M F I h D o d X D G c 4 i n A 0 X 8 w w i 0 I g E 4 Z M m 6 / C x m J M g f x A W H e l 6 1 r F G + e v d k C m C e T 9 g j 8 B U E s D B B Q A A g A I A J J S m U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U p l K K I p H u A 4 A A A A R A A A A E w A c A E Z v c m 1 1 b G F z L 1 N l Y 3 R p b 2 4 x L m 0 g o h g A K K A U A A A A A A A A A A A A A A A A A A A A A A A A A A A A K 0 5 N L s n M z 1 M I h t C G 1 g B Q S w E C L Q A U A A I A C A C S U p l K m t J o 6 a g A A A D 4 A A A A E g A A A A A A A A A A A A A A A A A A A A A A Q 2 9 u Z m l n L 1 B h Y 2 t h Z 2 U u e G 1 s U E s B A i 0 A F A A C A A g A k l K Z S g / K 6 a u k A A A A 6 Q A A A B M A A A A A A A A A A A A A A A A A 9 A A A A F t D b 2 5 0 Z W 5 0 X 1 R 5 c G V z X S 5 4 b W x Q S w E C L Q A U A A I A C A C S U p l K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X f 7 r h y Z s + U C 7 + k X t g G A z S Q A A A A A C A A A A A A A Q Z g A A A A E A A C A A A A A k I p / s v g s O Y 5 i U C 5 2 N Y x b U 8 s T Y z q B n e r e e a t Y A s t z A k g A A A A A O g A A A A A I A A C A A A A B A 9 B F i 1 C t h 2 y A g q s Y 4 8 z j 3 w l W w r 7 N w d K q H c g b P U d l + M V A A A A A j 2 A + p 4 3 6 j / 7 m x 6 I H M u X I j K J 3 s F M 8 V i 9 d C 1 j P E + e n g / 0 x x y g T g M U D t o h j F v I / z C T R 7 q p O r h k a n A E l Y 9 L h f y F p e i E X v h o o V Z 0 t z U Z h N p N s K l 0 A A A A A 0 O 3 Q L R d K I 8 R n n t / a k D w 0 5 l k L i C e Y 1 + l u Q n u x T N 3 Z 4 y n C K T + X K / 3 Z Y y B g x Y O J Z I x U o C F 9 s R k e S v X K U Q / j F w F J d < / D a t a M a s h u p > 
</file>

<file path=customXml/itemProps1.xml><?xml version="1.0" encoding="utf-8"?>
<ds:datastoreItem xmlns:ds="http://schemas.openxmlformats.org/officeDocument/2006/customXml" ds:itemID="{1FDBD619-85BD-417E-B224-2BB6D19F32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Orçamentário</vt:lpstr>
      <vt:lpstr>Composição</vt:lpstr>
      <vt:lpstr>CRONOGRAMA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de Andréa .</dc:creator>
  <cp:lastModifiedBy>Alipio</cp:lastModifiedBy>
  <cp:lastPrinted>2017-11-09T14:42:42Z</cp:lastPrinted>
  <dcterms:created xsi:type="dcterms:W3CDTF">2017-04-24T22:42:00Z</dcterms:created>
  <dcterms:modified xsi:type="dcterms:W3CDTF">2017-11-09T15:05:39Z</dcterms:modified>
</cp:coreProperties>
</file>